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询价文件 公开挂网\2026询价文件\公开询价\工程技术部\13.大岭山数谷二轮电动自行车充电桩\"/>
    </mc:Choice>
  </mc:AlternateContent>
  <bookViews>
    <workbookView windowWidth="28800" windowHeight="12255" tabRatio="909" firstSheet="2" activeTab="2"/>
  </bookViews>
  <sheets>
    <sheet name="发电自用比例计算表（无峰谷计价）" sheetId="29" state="hidden" r:id="rId1"/>
    <sheet name="用能方收益" sheetId="53" state="hidden" r:id="rId2"/>
    <sheet name="工程量清单-投资估算表" sheetId="50" r:id="rId3"/>
  </sheets>
  <externalReferences>
    <externalReference r:id="rId4"/>
  </externalReferences>
  <definedNames>
    <definedName name="_xlnm.Print_Area" localSheetId="0">'发电自用比例计算表（无峰谷计价）'!$A$1:$G$19</definedName>
    <definedName name="_xlnm.Print_Area" localSheetId="2">'工程量清单-投资估算表'!$A$1:$J$39</definedName>
    <definedName name="_xlnm.Print_Area" localSheetId="1">用能方收益!$B$1:$N$42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<sst xmlns="http://schemas.openxmlformats.org/spreadsheetml/2006/main" count="234" uniqueCount="192">
  <si>
    <t>光伏装机容量（kW）</t>
  </si>
  <si>
    <t>白天有功段(11h)</t>
  </si>
  <si>
    <t>08:00-19:00</t>
  </si>
  <si>
    <t>11小时</t>
  </si>
  <si>
    <t>光伏发的电只在白天有功段消纳</t>
  </si>
  <si>
    <t>平均峰值日照时数（h）</t>
  </si>
  <si>
    <t>发电段(7h)</t>
  </si>
  <si>
    <t>09:00-15:00</t>
  </si>
  <si>
    <t>6小时</t>
  </si>
  <si>
    <t>电力公司营销部收集某天的电力负荷曲线，避免企业晚上用电量占比过大，影响光伏自用比例</t>
  </si>
  <si>
    <t>光伏系统综合效率</t>
  </si>
  <si>
    <t>有功段发电比</t>
  </si>
  <si>
    <t>计量点1：XX有限公司</t>
  </si>
  <si>
    <t>计量点2：XX有限公司</t>
  </si>
  <si>
    <t>计量点3：XX有限公司</t>
  </si>
  <si>
    <t>计量点4：XX有限公司</t>
  </si>
  <si>
    <t>计量点5：XX有限公司</t>
  </si>
  <si>
    <t>月份</t>
  </si>
  <si>
    <t>峰值日照时数（h）</t>
  </si>
  <si>
    <t>月天数</t>
  </si>
  <si>
    <t>平均月发电量（kWh）</t>
  </si>
  <si>
    <t>月电费有功段
用电量（kWh）</t>
  </si>
  <si>
    <t>月电费有功段
消纳量（kWh）</t>
  </si>
  <si>
    <t>每月平均
自用比例</t>
  </si>
  <si>
    <t>月电费单
有功段
用电量</t>
  </si>
  <si>
    <t>月平均</t>
  </si>
  <si>
    <t>每年发电
自用比例</t>
  </si>
  <si>
    <t>年总计</t>
  </si>
  <si>
    <t>商业用电的时间段，进一步细化有功段发电比</t>
  </si>
  <si>
    <t>办公楼、学校、市场</t>
  </si>
  <si>
    <t>有功段08:00-19:00，11小时</t>
  </si>
  <si>
    <t>主要耗能设备是使用时间段</t>
  </si>
  <si>
    <t>商场、酒楼</t>
  </si>
  <si>
    <t>有功段08:00-23:00，15小时</t>
  </si>
  <si>
    <t>年发电量（kWh）=装机容量*年峰值日照小时数*365*光伏电站综合效率</t>
  </si>
  <si>
    <t>未来用电情况</t>
  </si>
  <si>
    <t>医院</t>
  </si>
  <si>
    <t>有功段08:00-8:00，24小时</t>
  </si>
  <si>
    <t>学校寒假1月份、暑假7月份一半、8月份不用电或用电少</t>
  </si>
  <si>
    <t>年峰值日照小时数即全国各地区的年平均日照时间（广东各市峰值日找时数见附图）</t>
  </si>
  <si>
    <t>光伏电站综合效率即系统损耗（如逆变器损耗、线损、灰尘遮挡等），取值在75%-85%之间</t>
  </si>
  <si>
    <t>光伏电站的方阵固定朝向为南，东莞市及广州市的最佳倾斜角度为17-22度</t>
  </si>
  <si>
    <t>综合效率系数K是考虑了各种因素影响后的修正系数，其中包括：</t>
  </si>
  <si>
    <t>1）光伏组件类型修正系数；</t>
  </si>
  <si>
    <t>2）光伏方阵的倾角、方位角修正系数；</t>
  </si>
  <si>
    <t>3）光伏发电系统可用率；</t>
  </si>
  <si>
    <t>4）光照利用率；</t>
  </si>
  <si>
    <t>5）逆变器效率；</t>
  </si>
  <si>
    <t>6）集电线路、升压变压器损耗；</t>
  </si>
  <si>
    <t>7）光伏组件表面污染修正系数；</t>
  </si>
  <si>
    <t>8）光伏组件转换效率修正系数。</t>
  </si>
  <si>
    <t>莞台两轮电动车智能充电站</t>
  </si>
  <si>
    <t>充电站功率（kW）</t>
  </si>
  <si>
    <t>屋顶安装面积（㎡）</t>
  </si>
  <si>
    <t>无租金隐藏</t>
  </si>
  <si>
    <t>租金单价（元/㎡）</t>
  </si>
  <si>
    <t>无租金改为0后隐藏</t>
  </si>
  <si>
    <t>服务费单价（元/度）</t>
  </si>
  <si>
    <t>电价优惠折扣</t>
  </si>
  <si>
    <t>收益分成比例</t>
  </si>
  <si>
    <t>根据自用比例计算表计算结果填写</t>
  </si>
  <si>
    <t>首年组件衰减率</t>
  </si>
  <si>
    <t>次年及之后组件衰减率</t>
  </si>
  <si>
    <t>根据安装方式修改</t>
  </si>
  <si>
    <t>合同截止年限（年）</t>
  </si>
  <si>
    <t>项目综合折扣（含租金）</t>
  </si>
  <si>
    <t>免费消纳</t>
  </si>
  <si>
    <t>固定收费</t>
  </si>
  <si>
    <t>免费40万度电收益（元）</t>
  </si>
  <si>
    <t>发电自用比例</t>
  </si>
  <si>
    <t>年份</t>
  </si>
  <si>
    <t>综合利用率</t>
  </si>
  <si>
    <t>年充电量
（度）</t>
  </si>
  <si>
    <t>发电自用
电量（度）</t>
  </si>
  <si>
    <t>发电上网
电量（度）</t>
  </si>
  <si>
    <t>分成收益（元）</t>
  </si>
  <si>
    <t>租金收益
（元）</t>
  </si>
  <si>
    <t>总收益
（万元）</t>
  </si>
  <si>
    <t>备注</t>
  </si>
  <si>
    <t>天合至尊</t>
  </si>
  <si>
    <t>2%首年衰减</t>
  </si>
  <si>
    <t>0.55%逐年功率衰减</t>
  </si>
  <si>
    <t>25年功率质保84.8%</t>
  </si>
  <si>
    <t>比如山东平铺和斜铺发电量差距最大能到约20%！</t>
  </si>
  <si>
    <t>阵列式 光伏系统效率</t>
  </si>
  <si>
    <t>搭棚架平铺式 光伏系统效率</t>
  </si>
  <si>
    <t>彩钢瓦平铺式 光伏系统效率</t>
  </si>
  <si>
    <t>若混合模式折取平均值</t>
  </si>
  <si>
    <t>彩瓦导轨</t>
  </si>
  <si>
    <t>彩瓦防水槽</t>
  </si>
  <si>
    <t>阵列式</t>
  </si>
  <si>
    <t>方通搭棚</t>
  </si>
  <si>
    <t>型钢搭棚</t>
  </si>
  <si>
    <t>停车棚</t>
  </si>
  <si>
    <t>年平均</t>
  </si>
  <si>
    <t>①客户版租金、折扣根据项目需要修改</t>
  </si>
  <si>
    <t>②无租金模式将租金改为零后隐藏内容</t>
  </si>
  <si>
    <t>大岭山数智谷产业促进中心两轮电动车充电站采购清单</t>
  </si>
  <si>
    <t>序号</t>
  </si>
  <si>
    <t>安装项目</t>
  </si>
  <si>
    <t>型号规格</t>
  </si>
  <si>
    <t>数量</t>
  </si>
  <si>
    <t>单位</t>
  </si>
  <si>
    <t>单价限价
含税（元）</t>
  </si>
  <si>
    <t>投标单价报价</t>
  </si>
  <si>
    <t>合计
含税（元）</t>
  </si>
  <si>
    <t>充电设备</t>
  </si>
  <si>
    <t>智能充电站</t>
  </si>
  <si>
    <t>10路充电路数 AC220V 整机最大负荷5kW 含软件</t>
  </si>
  <si>
    <t>台</t>
  </si>
  <si>
    <t>设备主机安装费</t>
  </si>
  <si>
    <t>设备安装 含设备落地固定及电表安装、软件安装等</t>
  </si>
  <si>
    <t>套</t>
  </si>
  <si>
    <t>充电专用插座</t>
  </si>
  <si>
    <t>插座 AC220V、插座专用防雨罩</t>
  </si>
  <si>
    <t>立柱版</t>
  </si>
  <si>
    <t>电表套装</t>
  </si>
  <si>
    <t>三相485电表（配合主机支持远程抄表）+塑料电表箱+空开漏电保护一体保护器</t>
  </si>
  <si>
    <t>单相485电表（配合主机支持远程抄表）+塑料电表箱+空开漏电保护一体保护器</t>
  </si>
  <si>
    <t>户外配电箱</t>
  </si>
  <si>
    <t>包含户外箱体、63A断路器、浪涌保护、25A（带漏电保护）*6</t>
  </si>
  <si>
    <t>C25A A型 30mA RCBO</t>
  </si>
  <si>
    <t>个</t>
  </si>
  <si>
    <t>32A断路器</t>
  </si>
  <si>
    <t>电力电缆</t>
  </si>
  <si>
    <t>电缆 YJV 0.6/1KV 5*6平方</t>
  </si>
  <si>
    <t>米</t>
  </si>
  <si>
    <t>BVR-10mm²</t>
  </si>
  <si>
    <t>BVR-6mm²</t>
  </si>
  <si>
    <t>BVR-4mm²</t>
  </si>
  <si>
    <t>BVR-2.5mm²</t>
  </si>
  <si>
    <t>BVR-1.5mm²</t>
  </si>
  <si>
    <t>主线安装</t>
  </si>
  <si>
    <t>暗装：含线管、管码、穿管及人工安装费等</t>
  </si>
  <si>
    <t>暂按PC32</t>
  </si>
  <si>
    <t>照明灯具</t>
  </si>
  <si>
    <r>
      <rPr>
        <b/>
        <sz val="20"/>
        <rFont val="宋体"/>
        <charset val="134"/>
      </rPr>
      <t>12W</t>
    </r>
    <r>
      <rPr>
        <sz val="20"/>
        <rFont val="宋体"/>
        <charset val="134"/>
      </rPr>
      <t>以上LED照明灯，带安装支架</t>
    </r>
    <r>
      <rPr>
        <b/>
        <sz val="20"/>
        <rFont val="宋体"/>
        <charset val="134"/>
      </rPr>
      <t>（声光控）</t>
    </r>
  </si>
  <si>
    <t>暂按12WLED照明灯</t>
  </si>
  <si>
    <t>消防器材</t>
  </si>
  <si>
    <t>监控摄像设备</t>
  </si>
  <si>
    <r>
      <rPr>
        <b/>
        <sz val="20"/>
        <rFont val="宋体"/>
        <charset val="134"/>
      </rPr>
      <t>火焰识别摄像头</t>
    </r>
    <r>
      <rPr>
        <sz val="20"/>
        <rFont val="宋体"/>
        <charset val="134"/>
      </rPr>
      <t>、枪式摄像机、录像机，
数据保存1个月以上 含1年移动数据流量包等</t>
    </r>
  </si>
  <si>
    <t>水基型灭火器</t>
  </si>
  <si>
    <t>手提式水基型灭火器，两边挂墙/柱</t>
  </si>
  <si>
    <t>烟感探头</t>
  </si>
  <si>
    <t>电池正常待机2年以上</t>
  </si>
  <si>
    <t>消防水管</t>
  </si>
  <si>
    <t>消防专用水管</t>
  </si>
  <si>
    <t>暂按内外热镀锌钢管DN25</t>
  </si>
  <si>
    <t>消防喷头</t>
  </si>
  <si>
    <r>
      <rPr>
        <sz val="20"/>
        <rFont val="宋体"/>
        <charset val="134"/>
      </rPr>
      <t>实心锥喷嘴 消防高速离心式雾化喷头 
不锈钢304</t>
    </r>
    <r>
      <rPr>
        <b/>
        <sz val="20"/>
        <rFont val="宋体"/>
        <charset val="134"/>
      </rPr>
      <t>（3米/个）</t>
    </r>
  </si>
  <si>
    <t>末端压力套装</t>
  </si>
  <si>
    <t>末端压力（含材料、人工安装费）</t>
  </si>
  <si>
    <t>暂按阀门*1、压力表*1</t>
  </si>
  <si>
    <t>引水管</t>
  </si>
  <si>
    <t>DN25（含材料、人工安装费,PVC）</t>
  </si>
  <si>
    <t>引水管安装</t>
  </si>
  <si>
    <t>暗装：含水管、管码及人工安装费等</t>
  </si>
  <si>
    <t>暂按PVCDN32</t>
  </si>
  <si>
    <t>普通水表</t>
  </si>
  <si>
    <t>含材料、人工安装费（暂按DN25）</t>
  </si>
  <si>
    <t>暂按DN25</t>
  </si>
  <si>
    <t>消防拉钩</t>
  </si>
  <si>
    <t>3米 带绝缘</t>
  </si>
  <si>
    <t>根</t>
  </si>
  <si>
    <t>防火隔板</t>
  </si>
  <si>
    <t>耐火极限≥2.00h</t>
  </si>
  <si>
    <t>㎡</t>
  </si>
  <si>
    <t>防
水
停
车
棚</t>
  </si>
  <si>
    <t>防水停车棚</t>
  </si>
  <si>
    <t>含立柱、支架、油漆、人工等</t>
  </si>
  <si>
    <t>方通悬臂式:方通规格80*40*2.0</t>
  </si>
  <si>
    <t>棚顶材质含辅材、人工等</t>
  </si>
  <si>
    <t>棚顶材质：防火布</t>
  </si>
  <si>
    <t>广告牌</t>
  </si>
  <si>
    <t>带“东莞能源”LOGO，700mm x 470mm x 5mm</t>
  </si>
  <si>
    <t>防雷接地</t>
  </si>
  <si>
    <t>镀锌角钢50×5×2500、镀锌扁钢40×4，接地电阻小于4Ω</t>
  </si>
  <si>
    <t>立柱基础</t>
  </si>
  <si>
    <t>含材料、开挖、回填、恢复、人工安装费.400*400*500</t>
  </si>
  <si>
    <t>停车位标线</t>
  </si>
  <si>
    <t>30mm宽以上标线</t>
  </si>
  <si>
    <t>m</t>
  </si>
  <si>
    <t>路面开挖</t>
  </si>
  <si>
    <t>机械开挖素土/绿化土方；含人工开挖沟槽
清底修边，含建筑垃圾及淤泥外运、路面恢复</t>
  </si>
  <si>
    <t>m³</t>
  </si>
  <si>
    <t>单价包含拆除废料外运费用</t>
  </si>
  <si>
    <t>安全文明施工费与设计费</t>
  </si>
  <si>
    <t>含安全文明施工费，工程一切险、人员意外险</t>
  </si>
  <si>
    <t>项</t>
  </si>
  <si>
    <t>合计：</t>
  </si>
  <si>
    <t>大写：</t>
  </si>
  <si>
    <t>提供9%增值税发票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</si>
</sst>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[DBNum2][$RMB]General;[Red][DBNum2][$RMB]General"/>
    <numFmt numFmtId="179" formatCode="0_ "/>
    <numFmt numFmtId="180" formatCode="General&quot;折&quot;"/>
    <numFmt numFmtId="181" formatCode="General&quot;年总计&quot;"/>
    <numFmt numFmtId="182" formatCode="#\ ?/?"/>
    <numFmt numFmtId="183" formatCode="#\ ??/??"/>
    <numFmt numFmtId="184" formatCode="0_);[Red]\(0\)"/>
  </numFmts>
  <fonts count="4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30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宋体"/>
      <charset val="134"/>
      <scheme val="minor"/>
    </font>
    <font>
      <sz val="18"/>
      <name val="宋体"/>
      <charset val="134"/>
      <scheme val="minor"/>
    </font>
    <font>
      <sz val="20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</font>
    <font>
      <b/>
      <sz val="20"/>
      <name val="宋体"/>
      <charset val="134"/>
    </font>
    <font>
      <sz val="20"/>
      <name val="Wingdings 2"/>
      <charset val="134"/>
    </font>
    <font>
      <sz val="20"/>
      <color rgb="FF000000"/>
      <name val="Wingdings 2"/>
      <charset val="134"/>
    </font>
    <font>
      <sz val="24"/>
      <name val="宋体"/>
      <charset val="134"/>
      <scheme val="minor"/>
    </font>
    <font>
      <sz val="2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color rgb="FFFF0000"/>
      <name val="宋体"/>
      <charset val="134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9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" fillId="5" borderId="17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6" borderId="20" applyNumberFormat="0" applyAlignment="0" applyProtection="0">
      <alignment vertical="center"/>
    </xf>
    <xf numFmtId="0" fontId="36" fillId="7" borderId="21" applyNumberFormat="0" applyAlignment="0" applyProtection="0">
      <alignment vertical="center"/>
    </xf>
    <xf numFmtId="0" fontId="37" fillId="7" borderId="20" applyNumberFormat="0" applyAlignment="0" applyProtection="0">
      <alignment vertical="center"/>
    </xf>
    <xf numFmtId="0" fontId="38" fillId="8" borderId="22" applyNumberFormat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0" borderId="0">
      <alignment vertical="center"/>
    </xf>
    <xf numFmtId="0" fontId="48" fillId="0" borderId="0"/>
  </cellStyleXfs>
  <cellXfs count="108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76" fontId="4" fillId="0" borderId="0" xfId="0" applyNumberFormat="1" applyFont="1" applyFill="1" applyBorder="1" applyAlignment="1">
      <alignment horizontal="right" wrapText="1"/>
    </xf>
    <xf numFmtId="177" fontId="4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0" fontId="18" fillId="0" borderId="0" xfId="0" applyFont="1" applyFill="1" applyBorder="1" applyAlignment="1"/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wrapText="1"/>
    </xf>
    <xf numFmtId="177" fontId="10" fillId="0" borderId="0" xfId="0" applyNumberFormat="1" applyFont="1" applyFill="1" applyBorder="1" applyAlignment="1">
      <alignment horizontal="right"/>
    </xf>
    <xf numFmtId="0" fontId="13" fillId="3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/>
    </xf>
    <xf numFmtId="179" fontId="20" fillId="0" borderId="1" xfId="0" applyNumberFormat="1" applyFont="1" applyFill="1" applyBorder="1" applyAlignment="1">
      <alignment horizontal="center"/>
    </xf>
    <xf numFmtId="0" fontId="21" fillId="0" borderId="0" xfId="0" applyFont="1"/>
    <xf numFmtId="180" fontId="20" fillId="0" borderId="1" xfId="0" applyNumberFormat="1" applyFont="1" applyFill="1" applyBorder="1" applyAlignment="1" applyProtection="1">
      <alignment horizontal="center"/>
    </xf>
    <xf numFmtId="177" fontId="22" fillId="0" borderId="0" xfId="0" applyNumberFormat="1" applyFont="1"/>
    <xf numFmtId="10" fontId="20" fillId="0" borderId="1" xfId="0" applyNumberFormat="1" applyFont="1" applyFill="1" applyBorder="1" applyAlignment="1" applyProtection="1">
      <alignment horizontal="center"/>
    </xf>
    <xf numFmtId="10" fontId="20" fillId="0" borderId="1" xfId="0" applyNumberFormat="1" applyFont="1" applyFill="1" applyBorder="1" applyAlignment="1">
      <alignment horizontal="center"/>
    </xf>
    <xf numFmtId="0" fontId="20" fillId="0" borderId="1" xfId="0" applyNumberFormat="1" applyFont="1" applyFill="1" applyBorder="1" applyAlignment="1" applyProtection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22" fillId="0" borderId="0" xfId="0" applyFont="1"/>
    <xf numFmtId="0" fontId="23" fillId="4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10" fontId="0" fillId="0" borderId="1" xfId="0" applyNumberFormat="1" applyFont="1" applyFill="1" applyBorder="1" applyAlignment="1">
      <alignment horizontal="center"/>
    </xf>
    <xf numFmtId="179" fontId="0" fillId="0" borderId="1" xfId="0" applyNumberFormat="1" applyFont="1" applyFill="1" applyBorder="1" applyAlignment="1">
      <alignment horizontal="center"/>
    </xf>
    <xf numFmtId="177" fontId="0" fillId="0" borderId="1" xfId="0" applyNumberFormat="1" applyFont="1" applyFill="1" applyBorder="1" applyAlignment="1">
      <alignment horizontal="center"/>
    </xf>
    <xf numFmtId="9" fontId="0" fillId="0" borderId="1" xfId="3" applyNumberFormat="1" applyFont="1" applyBorder="1" applyAlignment="1">
      <alignment horizontal="center" vertical="center"/>
    </xf>
    <xf numFmtId="9" fontId="0" fillId="0" borderId="1" xfId="3" applyNumberFormat="1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9" fontId="20" fillId="0" borderId="1" xfId="0" applyNumberFormat="1" applyFont="1" applyFill="1" applyBorder="1" applyAlignment="1" applyProtection="1">
      <alignment horizontal="center"/>
      <protection locked="0"/>
    </xf>
    <xf numFmtId="0" fontId="22" fillId="0" borderId="1" xfId="0" applyFont="1" applyBorder="1"/>
    <xf numFmtId="177" fontId="20" fillId="0" borderId="1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20" fillId="4" borderId="1" xfId="0" applyFont="1" applyFill="1" applyBorder="1" applyAlignment="1">
      <alignment horizontal="center"/>
    </xf>
    <xf numFmtId="181" fontId="20" fillId="4" borderId="1" xfId="0" applyNumberFormat="1" applyFont="1" applyFill="1" applyBorder="1" applyAlignment="1">
      <alignment horizontal="center"/>
    </xf>
    <xf numFmtId="0" fontId="0" fillId="0" borderId="1" xfId="0" applyFont="1" applyBorder="1"/>
    <xf numFmtId="0" fontId="2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/>
      <protection locked="0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23" fillId="4" borderId="8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182" fontId="23" fillId="0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3" fillId="4" borderId="1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82" fontId="23" fillId="4" borderId="1" xfId="0" applyNumberFormat="1" applyFont="1" applyFill="1" applyBorder="1" applyAlignment="1">
      <alignment horizontal="center" vertical="center"/>
    </xf>
    <xf numFmtId="182" fontId="23" fillId="0" borderId="12" xfId="0" applyNumberFormat="1" applyFont="1" applyFill="1" applyBorder="1" applyAlignment="1">
      <alignment horizontal="center" vertical="center" wrapText="1"/>
    </xf>
    <xf numFmtId="10" fontId="22" fillId="0" borderId="1" xfId="0" applyNumberFormat="1" applyFont="1" applyFill="1" applyBorder="1" applyAlignment="1">
      <alignment horizontal="center" vertical="center"/>
    </xf>
    <xf numFmtId="182" fontId="23" fillId="4" borderId="1" xfId="0" applyNumberFormat="1" applyFont="1" applyFill="1" applyBorder="1" applyAlignment="1">
      <alignment horizontal="center" vertical="center" wrapText="1"/>
    </xf>
    <xf numFmtId="183" fontId="23" fillId="0" borderId="1" xfId="0" applyNumberFormat="1" applyFont="1" applyFill="1" applyBorder="1" applyAlignment="1">
      <alignment horizontal="center" vertical="center"/>
    </xf>
    <xf numFmtId="183" fontId="23" fillId="0" borderId="12" xfId="0" applyNumberFormat="1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4" borderId="12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/>
    </xf>
    <xf numFmtId="177" fontId="22" fillId="0" borderId="1" xfId="0" applyNumberFormat="1" applyFont="1" applyFill="1" applyBorder="1" applyAlignment="1" applyProtection="1">
      <alignment horizontal="center" vertical="center"/>
    </xf>
    <xf numFmtId="179" fontId="22" fillId="0" borderId="1" xfId="0" applyNumberFormat="1" applyFont="1" applyFill="1" applyBorder="1" applyAlignment="1" applyProtection="1">
      <alignment horizontal="center" vertical="center"/>
    </xf>
    <xf numFmtId="179" fontId="22" fillId="0" borderId="1" xfId="0" applyNumberFormat="1" applyFont="1" applyFill="1" applyBorder="1" applyAlignment="1">
      <alignment horizontal="center" vertical="center"/>
    </xf>
    <xf numFmtId="179" fontId="25" fillId="0" borderId="1" xfId="0" applyNumberFormat="1" applyFont="1" applyFill="1" applyBorder="1" applyAlignment="1">
      <alignment horizontal="center" vertical="center"/>
    </xf>
    <xf numFmtId="10" fontId="22" fillId="0" borderId="12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179" fontId="23" fillId="0" borderId="1" xfId="0" applyNumberFormat="1" applyFont="1" applyFill="1" applyBorder="1" applyAlignment="1">
      <alignment horizontal="center" vertical="center"/>
    </xf>
    <xf numFmtId="10" fontId="26" fillId="0" borderId="12" xfId="0" applyNumberFormat="1" applyFont="1" applyFill="1" applyBorder="1" applyAlignment="1">
      <alignment horizontal="center" vertical="center"/>
    </xf>
    <xf numFmtId="0" fontId="23" fillId="4" borderId="14" xfId="0" applyFont="1" applyFill="1" applyBorder="1" applyAlignment="1">
      <alignment horizontal="center" vertical="center"/>
    </xf>
    <xf numFmtId="0" fontId="23" fillId="4" borderId="15" xfId="0" applyFont="1" applyFill="1" applyBorder="1" applyAlignment="1">
      <alignment horizontal="center" vertical="center"/>
    </xf>
    <xf numFmtId="179" fontId="23" fillId="0" borderId="15" xfId="0" applyNumberFormat="1" applyFont="1" applyFill="1" applyBorder="1" applyAlignment="1">
      <alignment horizontal="center" vertical="center"/>
    </xf>
    <xf numFmtId="184" fontId="23" fillId="0" borderId="15" xfId="0" applyNumberFormat="1" applyFont="1" applyFill="1" applyBorder="1" applyAlignment="1">
      <alignment horizontal="center" vertical="center"/>
    </xf>
    <xf numFmtId="10" fontId="26" fillId="0" borderId="16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节能减排_3" xfId="49"/>
    <cellStyle name="常规 2" xfId="50"/>
    <cellStyle name="Normal" xfId="51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eetMetadata" Target="metadata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41;&#26696;&#27979;&#31639;\yy&#39033;&#30446;&#36164;&#26009;\&#31908;&#26198;&#22253;\&#12304;20&#24180;&#12305;&#31908;&#26198;&#22253;&#20809;&#20239;&#21457;&#30005;&#39033;&#30446;&#25237;&#36164;&#27979;&#31639;&#34920;%20&#26032;&#29256;2025103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项目基本情况"/>
      <sheetName val="并网点配置表"/>
      <sheetName val="区域布置统计表"/>
      <sheetName val="投资估算"/>
      <sheetName val="峰平电价折算"/>
      <sheetName val="用能方收益"/>
      <sheetName val="发电自用比例计算表（峰谷计价）"/>
      <sheetName val="发电自用比例计算表（无峰谷计价）"/>
      <sheetName val="节能减排"/>
      <sheetName val="测算表"/>
    </sheetNames>
    <sheetDataSet>
      <sheetData sheetId="0"/>
      <sheetData sheetId="1"/>
      <sheetData sheetId="2"/>
      <sheetData sheetId="3">
        <row r="2">
          <cell r="N2">
            <v>0</v>
          </cell>
        </row>
        <row r="3">
          <cell r="N3">
            <v>0</v>
          </cell>
        </row>
        <row r="4">
          <cell r="N4">
            <v>0</v>
          </cell>
        </row>
        <row r="5">
          <cell r="N5">
            <v>0</v>
          </cell>
        </row>
        <row r="6">
          <cell r="N6">
            <v>0</v>
          </cell>
        </row>
        <row r="7">
          <cell r="N7">
            <v>3832.86</v>
          </cell>
        </row>
        <row r="8">
          <cell r="Q8">
            <v>16900.8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12">
    <tabColor rgb="FFFF0000"/>
    <pageSetUpPr fitToPage="1"/>
  </sheetPr>
  <dimension ref="A1:S48"/>
  <sheetViews>
    <sheetView view="pageBreakPreview" zoomScale="115" zoomScaleNormal="100" workbookViewId="0">
      <selection activeCell="H20" sqref="H20:P23"/>
    </sheetView>
  </sheetViews>
  <sheetFormatPr defaultColWidth="9" defaultRowHeight="14.25"/>
  <cols>
    <col min="1" max="1" width="7.16666666666667" customWidth="1"/>
    <col min="2" max="2" width="11.625" customWidth="1"/>
    <col min="3" max="3" width="7.05833333333333" customWidth="1"/>
    <col min="4" max="4" width="11.3" customWidth="1"/>
    <col min="5" max="5" width="14.5583333333333" style="72" customWidth="1"/>
    <col min="6" max="6" width="13.0416666666667" style="72" customWidth="1"/>
    <col min="7" max="7" width="9.23333333333333" style="72" customWidth="1"/>
    <col min="9" max="9" width="12.625"/>
  </cols>
  <sheetData>
    <row r="1" s="71" customFormat="1" ht="26.25" spans="1:19">
      <c r="A1" s="73" t="e">
        <f>#REF!</f>
        <v>#REF!</v>
      </c>
      <c r="B1" s="74"/>
      <c r="C1" s="74"/>
      <c r="D1" s="74"/>
      <c r="E1" s="74"/>
      <c r="F1" s="74"/>
      <c r="G1" s="75"/>
    </row>
    <row r="2" s="71" customFormat="1" ht="20" customHeight="1" spans="1:19">
      <c r="A2" s="76" t="s">
        <v>0</v>
      </c>
      <c r="B2" s="77"/>
      <c r="C2" s="78" t="e">
        <f>#REF!</f>
        <v>#REF!</v>
      </c>
      <c r="D2" s="78"/>
      <c r="E2" s="77" t="s">
        <v>1</v>
      </c>
      <c r="F2" s="78" t="s">
        <v>2</v>
      </c>
      <c r="G2" s="79" t="s">
        <v>3</v>
      </c>
      <c r="H2" s="80" t="s">
        <v>4</v>
      </c>
    </row>
    <row r="3" s="71" customFormat="1" ht="20" customHeight="1" spans="1:19">
      <c r="A3" s="81" t="s">
        <v>5</v>
      </c>
      <c r="B3" s="55"/>
      <c r="C3" s="82">
        <f>SUM(B6:B17)/A17</f>
        <v>3.69</v>
      </c>
      <c r="D3" s="82"/>
      <c r="E3" s="83" t="s">
        <v>6</v>
      </c>
      <c r="F3" s="82" t="s">
        <v>7</v>
      </c>
      <c r="G3" s="84" t="s">
        <v>8</v>
      </c>
      <c r="H3" s="80" t="s">
        <v>9</v>
      </c>
    </row>
    <row r="4" s="71" customFormat="1" ht="20" customHeight="1" spans="1:19">
      <c r="A4" s="81" t="s">
        <v>10</v>
      </c>
      <c r="B4" s="55"/>
      <c r="C4" s="85" t="e">
        <f>#REF!</f>
        <v>#REF!</v>
      </c>
      <c r="D4" s="85"/>
      <c r="E4" s="86" t="s">
        <v>11</v>
      </c>
      <c r="F4" s="87">
        <f>(15-9)/(19-8)</f>
        <v>0.545454545454545</v>
      </c>
      <c r="G4" s="88"/>
      <c r="J4" s="89" t="s">
        <v>12</v>
      </c>
      <c r="K4" s="90"/>
      <c r="L4" s="89" t="s">
        <v>13</v>
      </c>
      <c r="M4" s="90"/>
      <c r="N4" s="89" t="s">
        <v>14</v>
      </c>
      <c r="O4" s="90"/>
      <c r="P4" s="89" t="s">
        <v>15</v>
      </c>
      <c r="Q4" s="90"/>
      <c r="R4" s="89" t="s">
        <v>16</v>
      </c>
      <c r="S4" s="91"/>
    </row>
    <row r="5" s="71" customFormat="1" ht="36" customHeight="1" spans="1:19">
      <c r="A5" s="81" t="s">
        <v>17</v>
      </c>
      <c r="B5" s="53" t="s">
        <v>18</v>
      </c>
      <c r="C5" s="53" t="s">
        <v>19</v>
      </c>
      <c r="D5" s="53" t="s">
        <v>20</v>
      </c>
      <c r="E5" s="53" t="s">
        <v>21</v>
      </c>
      <c r="F5" s="53" t="s">
        <v>22</v>
      </c>
      <c r="G5" s="92" t="s">
        <v>23</v>
      </c>
      <c r="J5" s="81" t="s">
        <v>17</v>
      </c>
      <c r="K5" s="53" t="s">
        <v>24</v>
      </c>
      <c r="L5" s="81" t="s">
        <v>17</v>
      </c>
      <c r="M5" s="53" t="s">
        <v>24</v>
      </c>
      <c r="N5" s="81" t="s">
        <v>17</v>
      </c>
      <c r="O5" s="53" t="s">
        <v>24</v>
      </c>
      <c r="P5" s="81" t="s">
        <v>17</v>
      </c>
      <c r="Q5" s="53" t="s">
        <v>24</v>
      </c>
      <c r="R5" s="81" t="s">
        <v>17</v>
      </c>
      <c r="S5" s="53" t="s">
        <v>24</v>
      </c>
    </row>
    <row r="6" s="71" customFormat="1" ht="20" customHeight="1" spans="1:19">
      <c r="A6" s="93">
        <v>1</v>
      </c>
      <c r="B6" s="94">
        <v>2.77</v>
      </c>
      <c r="C6" s="95">
        <v>31</v>
      </c>
      <c r="D6" s="96" t="e">
        <f>C2*C4*B6*C6</f>
        <v>#REF!</v>
      </c>
      <c r="E6" s="97">
        <f>SUM(K6,M6,O6,Q6,S6)</f>
        <v>0</v>
      </c>
      <c r="F6" s="96">
        <f>E6*F4</f>
        <v>0</v>
      </c>
      <c r="G6" s="98" t="e">
        <f>MIN(0.8,F6/D6)</f>
        <v>#REF!</v>
      </c>
      <c r="J6" s="93">
        <v>1</v>
      </c>
      <c r="K6" s="97"/>
      <c r="L6" s="93">
        <v>1</v>
      </c>
      <c r="M6" s="97"/>
      <c r="N6" s="93">
        <v>1</v>
      </c>
      <c r="O6" s="97"/>
      <c r="P6" s="93">
        <v>1</v>
      </c>
      <c r="Q6" s="97"/>
      <c r="R6" s="93">
        <v>1</v>
      </c>
      <c r="S6" s="97"/>
    </row>
    <row r="7" s="71" customFormat="1" ht="20" customHeight="1" spans="1:19">
      <c r="A7" s="93">
        <v>2</v>
      </c>
      <c r="B7" s="94">
        <v>2.54</v>
      </c>
      <c r="C7" s="95">
        <v>28</v>
      </c>
      <c r="D7" s="96" t="e">
        <f>C2*C4*B7*C7</f>
        <v>#REF!</v>
      </c>
      <c r="E7" s="97">
        <f t="shared" ref="E6:E17" si="0">SUM(K7,M7,O7,Q7,S7)</f>
        <v>0</v>
      </c>
      <c r="F7" s="96">
        <f>E7*F4</f>
        <v>0</v>
      </c>
      <c r="G7" s="98" t="e">
        <f t="shared" ref="G7:G17" si="1">MIN(0.8,F7/D7)</f>
        <v>#REF!</v>
      </c>
      <c r="I7" s="99"/>
      <c r="J7" s="93">
        <v>2</v>
      </c>
      <c r="K7" s="97"/>
      <c r="L7" s="93">
        <v>2</v>
      </c>
      <c r="M7" s="97"/>
      <c r="N7" s="93">
        <v>2</v>
      </c>
      <c r="O7" s="97"/>
      <c r="P7" s="93">
        <v>2</v>
      </c>
      <c r="Q7" s="97"/>
      <c r="R7" s="93">
        <v>2</v>
      </c>
      <c r="S7" s="97"/>
    </row>
    <row r="8" s="71" customFormat="1" ht="20" customHeight="1" spans="1:19">
      <c r="A8" s="93">
        <v>3</v>
      </c>
      <c r="B8" s="94">
        <v>2.7</v>
      </c>
      <c r="C8" s="95">
        <v>31</v>
      </c>
      <c r="D8" s="96" t="e">
        <f>C2*C4*B8*C8</f>
        <v>#REF!</v>
      </c>
      <c r="E8" s="97">
        <f t="shared" si="0"/>
        <v>0</v>
      </c>
      <c r="F8" s="96">
        <f>E8*F4</f>
        <v>0</v>
      </c>
      <c r="G8" s="98" t="e">
        <f t="shared" si="1"/>
        <v>#REF!</v>
      </c>
      <c r="I8" s="99"/>
      <c r="J8" s="93">
        <v>3</v>
      </c>
      <c r="K8" s="97"/>
      <c r="L8" s="93">
        <v>3</v>
      </c>
      <c r="M8" s="97"/>
      <c r="N8" s="93">
        <v>3</v>
      </c>
      <c r="O8" s="97"/>
      <c r="P8" s="93">
        <v>3</v>
      </c>
      <c r="Q8" s="97"/>
      <c r="R8" s="93">
        <v>3</v>
      </c>
      <c r="S8" s="97"/>
    </row>
    <row r="9" s="71" customFormat="1" ht="20" customHeight="1" spans="1:19">
      <c r="A9" s="93">
        <v>4</v>
      </c>
      <c r="B9" s="94">
        <v>3.23</v>
      </c>
      <c r="C9" s="95">
        <v>30</v>
      </c>
      <c r="D9" s="96" t="e">
        <f>C2*C4*B9*C9</f>
        <v>#REF!</v>
      </c>
      <c r="E9" s="97">
        <f t="shared" si="0"/>
        <v>0</v>
      </c>
      <c r="F9" s="96">
        <f>E9*F4</f>
        <v>0</v>
      </c>
      <c r="G9" s="98" t="e">
        <f t="shared" si="1"/>
        <v>#REF!</v>
      </c>
      <c r="I9" s="99"/>
      <c r="J9" s="93">
        <v>4</v>
      </c>
      <c r="K9" s="97"/>
      <c r="L9" s="93">
        <v>4</v>
      </c>
      <c r="M9" s="97"/>
      <c r="N9" s="93">
        <v>4</v>
      </c>
      <c r="O9" s="97"/>
      <c r="P9" s="93">
        <v>4</v>
      </c>
      <c r="Q9" s="97"/>
      <c r="R9" s="93">
        <v>4</v>
      </c>
      <c r="S9" s="97"/>
    </row>
    <row r="10" s="71" customFormat="1" ht="20" customHeight="1" spans="1:19">
      <c r="A10" s="93">
        <v>5</v>
      </c>
      <c r="B10" s="94">
        <v>3.92</v>
      </c>
      <c r="C10" s="95">
        <v>31</v>
      </c>
      <c r="D10" s="96" t="e">
        <f>C2*C4*B10*C10</f>
        <v>#REF!</v>
      </c>
      <c r="E10" s="97">
        <f t="shared" si="0"/>
        <v>0</v>
      </c>
      <c r="F10" s="96">
        <f>E10*F4</f>
        <v>0</v>
      </c>
      <c r="G10" s="98" t="e">
        <f t="shared" si="1"/>
        <v>#REF!</v>
      </c>
      <c r="I10" s="99"/>
      <c r="J10" s="93">
        <v>5</v>
      </c>
      <c r="K10" s="97"/>
      <c r="L10" s="93">
        <v>5</v>
      </c>
      <c r="M10" s="97"/>
      <c r="N10" s="93">
        <v>5</v>
      </c>
      <c r="O10" s="97"/>
      <c r="P10" s="93">
        <v>5</v>
      </c>
      <c r="Q10" s="97"/>
      <c r="R10" s="93">
        <v>5</v>
      </c>
      <c r="S10" s="97"/>
    </row>
    <row r="11" s="71" customFormat="1" ht="20" customHeight="1" spans="1:19">
      <c r="A11" s="93">
        <v>6</v>
      </c>
      <c r="B11" s="94">
        <v>4.32</v>
      </c>
      <c r="C11" s="95">
        <v>30</v>
      </c>
      <c r="D11" s="96" t="e">
        <f>C2*C4*B11*C11</f>
        <v>#REF!</v>
      </c>
      <c r="E11" s="97">
        <f t="shared" si="0"/>
        <v>0</v>
      </c>
      <c r="F11" s="96">
        <f>E11*F4</f>
        <v>0</v>
      </c>
      <c r="G11" s="98" t="e">
        <f t="shared" si="1"/>
        <v>#REF!</v>
      </c>
      <c r="I11" s="99"/>
      <c r="J11" s="93">
        <v>6</v>
      </c>
      <c r="K11" s="97"/>
      <c r="L11" s="93">
        <v>6</v>
      </c>
      <c r="M11" s="97"/>
      <c r="N11" s="93">
        <v>6</v>
      </c>
      <c r="O11" s="97"/>
      <c r="P11" s="93">
        <v>6</v>
      </c>
      <c r="Q11" s="97"/>
      <c r="R11" s="93">
        <v>6</v>
      </c>
      <c r="S11" s="97"/>
    </row>
    <row r="12" s="71" customFormat="1" ht="20" customHeight="1" spans="1:19">
      <c r="A12" s="93">
        <v>7</v>
      </c>
      <c r="B12" s="94">
        <v>4.8</v>
      </c>
      <c r="C12" s="95">
        <v>31</v>
      </c>
      <c r="D12" s="96" t="e">
        <f>C2*C4*B12*C12</f>
        <v>#REF!</v>
      </c>
      <c r="E12" s="97">
        <f t="shared" si="0"/>
        <v>0</v>
      </c>
      <c r="F12" s="96">
        <f>E12*F4</f>
        <v>0</v>
      </c>
      <c r="G12" s="98" t="e">
        <f t="shared" si="1"/>
        <v>#REF!</v>
      </c>
      <c r="J12" s="93">
        <v>7</v>
      </c>
      <c r="K12" s="97"/>
      <c r="L12" s="93">
        <v>7</v>
      </c>
      <c r="M12" s="97"/>
      <c r="N12" s="93">
        <v>7</v>
      </c>
      <c r="O12" s="97"/>
      <c r="P12" s="93">
        <v>7</v>
      </c>
      <c r="Q12" s="97"/>
      <c r="R12" s="93">
        <v>7</v>
      </c>
      <c r="S12" s="97"/>
    </row>
    <row r="13" s="71" customFormat="1" ht="20" customHeight="1" spans="1:19">
      <c r="A13" s="93">
        <v>8</v>
      </c>
      <c r="B13" s="94">
        <v>4.54</v>
      </c>
      <c r="C13" s="95">
        <v>31</v>
      </c>
      <c r="D13" s="96" t="e">
        <f>C2*C4*B13*C13</f>
        <v>#REF!</v>
      </c>
      <c r="E13" s="97">
        <f t="shared" si="0"/>
        <v>0</v>
      </c>
      <c r="F13" s="96">
        <f>E13*F4</f>
        <v>0</v>
      </c>
      <c r="G13" s="98" t="e">
        <f t="shared" si="1"/>
        <v>#REF!</v>
      </c>
      <c r="J13" s="93">
        <v>8</v>
      </c>
      <c r="K13" s="97"/>
      <c r="L13" s="93">
        <v>8</v>
      </c>
      <c r="M13" s="97"/>
      <c r="N13" s="93">
        <v>8</v>
      </c>
      <c r="O13" s="97"/>
      <c r="P13" s="93">
        <v>8</v>
      </c>
      <c r="Q13" s="97"/>
      <c r="R13" s="93">
        <v>8</v>
      </c>
      <c r="S13" s="97"/>
    </row>
    <row r="14" s="71" customFormat="1" ht="20" customHeight="1" spans="1:19">
      <c r="A14" s="93">
        <v>9</v>
      </c>
      <c r="B14" s="94">
        <v>4.33</v>
      </c>
      <c r="C14" s="95">
        <v>30</v>
      </c>
      <c r="D14" s="96" t="e">
        <f>C2*C4*B14*C14</f>
        <v>#REF!</v>
      </c>
      <c r="E14" s="97">
        <f t="shared" si="0"/>
        <v>0</v>
      </c>
      <c r="F14" s="96">
        <f>E14*F4</f>
        <v>0</v>
      </c>
      <c r="G14" s="98" t="e">
        <f t="shared" si="1"/>
        <v>#REF!</v>
      </c>
      <c r="J14" s="93">
        <v>9</v>
      </c>
      <c r="K14" s="97"/>
      <c r="L14" s="93">
        <v>9</v>
      </c>
      <c r="M14" s="97"/>
      <c r="N14" s="93">
        <v>9</v>
      </c>
      <c r="O14" s="97"/>
      <c r="P14" s="93">
        <v>9</v>
      </c>
      <c r="Q14" s="97"/>
      <c r="R14" s="93">
        <v>9</v>
      </c>
      <c r="S14" s="97"/>
    </row>
    <row r="15" s="71" customFormat="1" ht="20" customHeight="1" spans="1:19">
      <c r="A15" s="93">
        <v>10</v>
      </c>
      <c r="B15" s="94">
        <v>4.12</v>
      </c>
      <c r="C15" s="95">
        <v>31</v>
      </c>
      <c r="D15" s="96" t="e">
        <f>C2*C4*B15*C15</f>
        <v>#REF!</v>
      </c>
      <c r="E15" s="97">
        <f t="shared" si="0"/>
        <v>0</v>
      </c>
      <c r="F15" s="96">
        <f>E15*F4</f>
        <v>0</v>
      </c>
      <c r="G15" s="98" t="e">
        <f t="shared" si="1"/>
        <v>#REF!</v>
      </c>
      <c r="J15" s="93">
        <v>10</v>
      </c>
      <c r="K15" s="97"/>
      <c r="L15" s="93">
        <v>10</v>
      </c>
      <c r="M15" s="97"/>
      <c r="N15" s="93">
        <v>10</v>
      </c>
      <c r="O15" s="97"/>
      <c r="P15" s="93">
        <v>10</v>
      </c>
      <c r="Q15" s="97"/>
      <c r="R15" s="93">
        <v>10</v>
      </c>
      <c r="S15" s="97"/>
    </row>
    <row r="16" s="71" customFormat="1" ht="20" customHeight="1" spans="1:19">
      <c r="A16" s="93">
        <v>11</v>
      </c>
      <c r="B16" s="94">
        <v>3.74</v>
      </c>
      <c r="C16" s="95">
        <v>30</v>
      </c>
      <c r="D16" s="96" t="e">
        <f>C2*C4*B16*C16</f>
        <v>#REF!</v>
      </c>
      <c r="E16" s="97">
        <f t="shared" si="0"/>
        <v>0</v>
      </c>
      <c r="F16" s="96">
        <f>E16*F4</f>
        <v>0</v>
      </c>
      <c r="G16" s="98" t="e">
        <f t="shared" si="1"/>
        <v>#REF!</v>
      </c>
      <c r="J16" s="93">
        <v>11</v>
      </c>
      <c r="K16" s="97"/>
      <c r="L16" s="93">
        <v>11</v>
      </c>
      <c r="M16" s="97"/>
      <c r="N16" s="93">
        <v>11</v>
      </c>
      <c r="O16" s="97"/>
      <c r="P16" s="93">
        <v>11</v>
      </c>
      <c r="Q16" s="97"/>
      <c r="R16" s="93">
        <v>11</v>
      </c>
      <c r="S16" s="97"/>
    </row>
    <row r="17" s="71" customFormat="1" ht="20" customHeight="1" spans="1:19">
      <c r="A17" s="93">
        <v>12</v>
      </c>
      <c r="B17" s="94">
        <v>3.27</v>
      </c>
      <c r="C17" s="95">
        <v>31</v>
      </c>
      <c r="D17" s="96" t="e">
        <f>C2*C4*B17*C17</f>
        <v>#REF!</v>
      </c>
      <c r="E17" s="97">
        <f t="shared" si="0"/>
        <v>0</v>
      </c>
      <c r="F17" s="96">
        <f>E17*F4</f>
        <v>0</v>
      </c>
      <c r="G17" s="98" t="e">
        <f t="shared" si="1"/>
        <v>#REF!</v>
      </c>
      <c r="J17" s="93">
        <v>12</v>
      </c>
      <c r="K17" s="97"/>
      <c r="L17" s="93">
        <v>12</v>
      </c>
      <c r="M17" s="97"/>
      <c r="N17" s="93">
        <v>12</v>
      </c>
      <c r="O17" s="97"/>
      <c r="P17" s="93">
        <v>12</v>
      </c>
      <c r="Q17" s="97"/>
      <c r="R17" s="93">
        <v>12</v>
      </c>
      <c r="S17" s="97"/>
    </row>
    <row r="18" s="71" customFormat="1" ht="20" customHeight="1" spans="1:19">
      <c r="A18" s="81" t="s">
        <v>25</v>
      </c>
      <c r="B18" s="55"/>
      <c r="C18" s="100">
        <f>C19/A17</f>
        <v>30.4166666666667</v>
      </c>
      <c r="D18" s="100" t="e">
        <f>D19/A17</f>
        <v>#REF!</v>
      </c>
      <c r="E18" s="100">
        <f>E19/A17</f>
        <v>0</v>
      </c>
      <c r="F18" s="53" t="s">
        <v>26</v>
      </c>
      <c r="G18" s="101" t="e" cm="1">
        <f t="array" ref="G18">ROUND(SUMPRODUCT(G6:G17,D6:D17)/SUM(D6:D17),4)</f>
        <v>#REF!</v>
      </c>
    </row>
    <row r="19" s="71" customFormat="1" ht="20" customHeight="1" spans="1:19">
      <c r="A19" s="102" t="s">
        <v>27</v>
      </c>
      <c r="B19" s="103"/>
      <c r="C19" s="104">
        <f>SUM(C6:C17)</f>
        <v>365</v>
      </c>
      <c r="D19" s="104" t="e">
        <f>SUM(D6:D17)</f>
        <v>#REF!</v>
      </c>
      <c r="E19" s="105">
        <f>SUM(E6:E17)</f>
        <v>0</v>
      </c>
      <c r="F19" s="103"/>
      <c r="G19" s="106"/>
    </row>
    <row r="20" spans="1:19">
      <c r="H20" s="80" t="s">
        <v>28</v>
      </c>
      <c r="I20" s="71"/>
      <c r="J20" s="71"/>
      <c r="K20" s="71"/>
      <c r="L20" s="80" t="s">
        <v>29</v>
      </c>
      <c r="M20" s="71"/>
      <c r="N20" s="80" t="s">
        <v>30</v>
      </c>
    </row>
    <row r="21" spans="1:19">
      <c r="H21" t="s">
        <v>31</v>
      </c>
      <c r="L21" t="s">
        <v>32</v>
      </c>
      <c r="N21" s="107" t="s">
        <v>33</v>
      </c>
    </row>
    <row r="22" spans="1:19">
      <c r="A22" t="s">
        <v>34</v>
      </c>
      <c r="H22" t="s">
        <v>35</v>
      </c>
      <c r="L22" t="s">
        <v>36</v>
      </c>
      <c r="N22" s="107" t="s">
        <v>37</v>
      </c>
    </row>
    <row r="23" spans="1:19">
      <c r="L23" t="s">
        <v>38</v>
      </c>
      <c r="N23" s="107"/>
    </row>
    <row r="24" spans="1:19">
      <c r="A24" t="s">
        <v>39</v>
      </c>
    </row>
    <row r="25" spans="1:19">
      <c r="A25" t="s">
        <v>40</v>
      </c>
    </row>
    <row r="26" spans="1:19">
      <c r="A26" t="s">
        <v>41</v>
      </c>
    </row>
    <row r="27" spans="1:19">
      <c r="G27" s="107"/>
    </row>
    <row r="28" spans="1:19">
      <c r="G28" s="107" t="s">
        <v>42</v>
      </c>
    </row>
    <row r="29" spans="1:19">
      <c r="G29" s="107"/>
    </row>
    <row r="30" spans="1:19">
      <c r="G30" s="107" t="s">
        <v>43</v>
      </c>
    </row>
    <row r="31" spans="1:19">
      <c r="G31" s="107" t="s">
        <v>44</v>
      </c>
    </row>
    <row r="32" spans="1:19">
      <c r="G32" s="107" t="s">
        <v>45</v>
      </c>
    </row>
    <row r="33" spans="7:7">
      <c r="G33" s="107" t="s">
        <v>46</v>
      </c>
    </row>
    <row r="34" spans="7:7">
      <c r="G34" s="107" t="s">
        <v>47</v>
      </c>
    </row>
    <row r="35" spans="7:7">
      <c r="G35" s="107" t="s">
        <v>48</v>
      </c>
    </row>
    <row r="36" spans="7:7">
      <c r="G36" s="107" t="s">
        <v>49</v>
      </c>
    </row>
    <row r="37" spans="7:7">
      <c r="G37" s="107" t="s">
        <v>50</v>
      </c>
    </row>
    <row r="38" spans="7:7">
      <c r="G38" s="107"/>
    </row>
    <row r="39" spans="7:7">
      <c r="G39" s="107"/>
    </row>
    <row r="40" spans="7:7">
      <c r="G40" s="107"/>
    </row>
    <row r="41" spans="7:7">
      <c r="G41" s="107"/>
    </row>
    <row r="42" spans="7:7">
      <c r="G42" s="107"/>
    </row>
    <row r="43" spans="7:7">
      <c r="G43" s="107"/>
    </row>
    <row r="44" spans="7:7">
      <c r="G44" s="107"/>
    </row>
    <row r="45" spans="7:7">
      <c r="G45" s="107"/>
    </row>
    <row r="46" spans="7:7">
      <c r="G46" s="107"/>
    </row>
    <row r="47" spans="7:7">
      <c r="G47" s="107"/>
    </row>
    <row r="48" spans="7:7">
      <c r="G48" s="107"/>
    </row>
  </sheetData>
  <mergeCells count="17">
    <mergeCell ref="A1:G1"/>
    <mergeCell ref="A2:B2"/>
    <mergeCell ref="C2:D2"/>
    <mergeCell ref="A3:B3"/>
    <mergeCell ref="C3:D3"/>
    <mergeCell ref="A4:B4"/>
    <mergeCell ref="C4:D4"/>
    <mergeCell ref="F4:G4"/>
    <mergeCell ref="J4:K4"/>
    <mergeCell ref="L4:M4"/>
    <mergeCell ref="N4:O4"/>
    <mergeCell ref="P4:Q4"/>
    <mergeCell ref="R4:S4"/>
    <mergeCell ref="A18:B18"/>
    <mergeCell ref="A19:B19"/>
    <mergeCell ref="F18:F19"/>
    <mergeCell ref="G18:G19"/>
  </mergeCells>
  <printOptions horizontalCentered="1"/>
  <pageMargins left="0.25" right="0.25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0000"/>
    <pageSetUpPr fitToPage="1"/>
  </sheetPr>
  <dimension ref="B1:AA45"/>
  <sheetViews>
    <sheetView view="pageBreakPreview" zoomScaleNormal="100" workbookViewId="0">
      <selection activeCell="O25" sqref="O25"/>
    </sheetView>
  </sheetViews>
  <sheetFormatPr defaultColWidth="8.81666666666667" defaultRowHeight="14.25"/>
  <cols>
    <col min="2" max="2" width="6.125" customWidth="1"/>
    <col min="3" max="3" width="9.25" customWidth="1"/>
    <col min="4" max="4" width="12" customWidth="1"/>
    <col min="5" max="8" width="10.875" hidden="1" customWidth="1"/>
    <col min="9" max="9" width="10.5" customWidth="1"/>
    <col min="10" max="10" width="10.5" hidden="1" customWidth="1"/>
    <col min="11" max="11" width="10.625" hidden="1" customWidth="1"/>
    <col min="12" max="12" width="10.125" customWidth="1"/>
    <col min="13" max="13" width="10.125" hidden="1" customWidth="1"/>
    <col min="14" max="14" width="7.25" customWidth="1"/>
    <col min="17" max="17" width="12.625"/>
    <col min="18" max="18" width="9"/>
    <col min="19" max="19" width="11.625" customWidth="1"/>
    <col min="20" max="27" width="9"/>
  </cols>
  <sheetData>
    <row r="1" ht="24.4" customHeight="1" spans="2:17">
      <c r="B1" s="42" t="s">
        <v>51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ht="15" customHeight="1" spans="2:17">
      <c r="B2" s="43" t="s">
        <v>52</v>
      </c>
      <c r="C2" s="43"/>
      <c r="D2" s="43"/>
      <c r="E2" s="43"/>
      <c r="F2" s="43"/>
      <c r="G2" s="43"/>
      <c r="H2" s="43"/>
      <c r="I2" s="44">
        <v>5</v>
      </c>
      <c r="J2" s="44"/>
      <c r="K2" s="44"/>
      <c r="L2" s="44"/>
      <c r="M2" s="44"/>
      <c r="N2" s="44"/>
    </row>
    <row r="3" ht="15" hidden="1" customHeight="1" spans="2:17">
      <c r="B3" s="43" t="s">
        <v>53</v>
      </c>
      <c r="C3" s="43"/>
      <c r="D3" s="43"/>
      <c r="E3" s="43"/>
      <c r="F3" s="43"/>
      <c r="G3" s="43"/>
      <c r="H3" s="43"/>
      <c r="I3" s="45">
        <f>[1]投资估算!$Q$8</f>
        <v>16900.8</v>
      </c>
      <c r="J3" s="45"/>
      <c r="K3" s="45"/>
      <c r="L3" s="45"/>
      <c r="M3" s="45"/>
      <c r="N3" s="45"/>
      <c r="O3" s="46" t="s">
        <v>54</v>
      </c>
    </row>
    <row r="4" ht="15" hidden="1" customHeight="1" spans="2:17">
      <c r="B4" s="43" t="s">
        <v>55</v>
      </c>
      <c r="C4" s="43"/>
      <c r="D4" s="43"/>
      <c r="E4" s="43"/>
      <c r="F4" s="43"/>
      <c r="G4" s="43"/>
      <c r="H4" s="43"/>
      <c r="I4" s="44">
        <v>0</v>
      </c>
      <c r="J4" s="44"/>
      <c r="K4" s="44"/>
      <c r="L4" s="44"/>
      <c r="M4" s="44"/>
      <c r="N4" s="44"/>
      <c r="O4" s="46" t="s">
        <v>56</v>
      </c>
    </row>
    <row r="5" ht="15" customHeight="1" spans="2:17">
      <c r="B5" s="43" t="s">
        <v>57</v>
      </c>
      <c r="C5" s="43"/>
      <c r="D5" s="43"/>
      <c r="E5" s="43"/>
      <c r="F5" s="43"/>
      <c r="G5" s="43"/>
      <c r="H5" s="43"/>
      <c r="I5" s="44">
        <v>0.41</v>
      </c>
      <c r="J5" s="44"/>
      <c r="K5" s="44"/>
      <c r="L5" s="44"/>
      <c r="M5" s="44"/>
      <c r="N5" s="44"/>
    </row>
    <row r="6" ht="15" hidden="1" customHeight="1" spans="2:17">
      <c r="B6" s="43" t="s">
        <v>58</v>
      </c>
      <c r="C6" s="43"/>
      <c r="D6" s="43"/>
      <c r="E6" s="43"/>
      <c r="F6" s="43"/>
      <c r="G6" s="43"/>
      <c r="H6" s="43"/>
      <c r="I6" s="47">
        <f>4.53/I5</f>
        <v>11.0487804878049</v>
      </c>
      <c r="J6" s="47"/>
      <c r="K6" s="47"/>
      <c r="L6" s="47"/>
      <c r="M6" s="47"/>
      <c r="N6" s="47"/>
      <c r="Q6" s="48"/>
    </row>
    <row r="7" ht="15" customHeight="1" spans="2:17">
      <c r="B7" s="43" t="s">
        <v>59</v>
      </c>
      <c r="C7" s="43"/>
      <c r="D7" s="43"/>
      <c r="E7" s="43"/>
      <c r="F7" s="43"/>
      <c r="G7" s="43"/>
      <c r="H7" s="43"/>
      <c r="I7" s="49">
        <v>0.35</v>
      </c>
      <c r="J7" s="49"/>
      <c r="K7" s="50"/>
      <c r="L7" s="50"/>
      <c r="M7" s="50"/>
      <c r="N7" s="50"/>
      <c r="O7" s="46" t="s">
        <v>60</v>
      </c>
    </row>
    <row r="8" ht="15" hidden="1" customHeight="1" spans="2:17">
      <c r="B8" s="43" t="s">
        <v>61</v>
      </c>
      <c r="C8" s="43"/>
      <c r="D8" s="43"/>
      <c r="E8" s="43"/>
      <c r="F8" s="43"/>
      <c r="G8" s="43"/>
      <c r="H8" s="43"/>
      <c r="I8" s="50">
        <v>0.02</v>
      </c>
      <c r="J8" s="50"/>
      <c r="K8" s="50"/>
      <c r="L8" s="50"/>
      <c r="M8" s="50"/>
      <c r="N8" s="50"/>
    </row>
    <row r="9" ht="15" hidden="1" customHeight="1" spans="2:17">
      <c r="B9" s="43" t="s">
        <v>62</v>
      </c>
      <c r="C9" s="43"/>
      <c r="D9" s="43"/>
      <c r="E9" s="43"/>
      <c r="F9" s="43"/>
      <c r="G9" s="43"/>
      <c r="H9" s="43"/>
      <c r="I9" s="50">
        <v>0.0055</v>
      </c>
      <c r="J9" s="50"/>
      <c r="K9" s="50"/>
      <c r="L9" s="50"/>
      <c r="M9" s="50"/>
      <c r="N9" s="50"/>
    </row>
    <row r="10" ht="15" hidden="1" customHeight="1" spans="2:17">
      <c r="B10" s="43" t="s">
        <v>5</v>
      </c>
      <c r="C10" s="43"/>
      <c r="D10" s="43"/>
      <c r="E10" s="43"/>
      <c r="F10" s="43"/>
      <c r="G10" s="43"/>
      <c r="H10" s="43"/>
      <c r="I10" s="51">
        <v>3.69</v>
      </c>
      <c r="J10" s="51"/>
      <c r="K10" s="50"/>
      <c r="L10" s="50"/>
      <c r="M10" s="50"/>
      <c r="N10" s="50"/>
    </row>
    <row r="11" ht="15" hidden="1" customHeight="1" spans="2:17">
      <c r="B11" s="43" t="s">
        <v>10</v>
      </c>
      <c r="C11" s="43"/>
      <c r="D11" s="43"/>
      <c r="E11" s="43"/>
      <c r="F11" s="43"/>
      <c r="G11" s="43"/>
      <c r="H11" s="43"/>
      <c r="I11" s="50" cm="1">
        <f t="array" ref="I11">SUMPRODUCT(S26:S31,R26:R31)/SUM(R26:R31)</f>
        <v>0.8</v>
      </c>
      <c r="J11" s="50"/>
      <c r="K11" s="50"/>
      <c r="L11" s="50"/>
      <c r="M11" s="50"/>
      <c r="N11" s="50"/>
      <c r="O11" s="46" t="s">
        <v>63</v>
      </c>
    </row>
    <row r="12" customFormat="1" ht="15" hidden="1" customHeight="1" spans="2:17">
      <c r="B12" s="43" t="s">
        <v>64</v>
      </c>
      <c r="C12" s="43"/>
      <c r="D12" s="43"/>
      <c r="E12" s="43"/>
      <c r="F12" s="43"/>
      <c r="G12" s="43"/>
      <c r="H12" s="43"/>
      <c r="I12" s="44">
        <v>20</v>
      </c>
      <c r="J12" s="47"/>
      <c r="K12" s="44"/>
      <c r="L12" s="44"/>
      <c r="M12" s="47"/>
      <c r="N12" s="44"/>
      <c r="O12" s="46"/>
    </row>
    <row r="13" customFormat="1" ht="15" hidden="1" customHeight="1" spans="2:17">
      <c r="B13" s="43" t="s">
        <v>65</v>
      </c>
      <c r="C13" s="43"/>
      <c r="D13" s="43"/>
      <c r="E13" s="43"/>
      <c r="F13" s="52"/>
      <c r="G13" s="52"/>
      <c r="H13" s="43"/>
      <c r="I13" s="47">
        <f>ROUND((1-(I42+K42)/(I5*D42*0.65))*10,2)</f>
        <v>4.62</v>
      </c>
      <c r="J13" s="52"/>
      <c r="K13" s="47"/>
      <c r="L13" s="47"/>
      <c r="M13" s="52"/>
      <c r="N13" s="47"/>
    </row>
    <row r="14" ht="9" customHeight="1" spans="2:17">
      <c r="B14" s="52"/>
      <c r="C14" s="52"/>
      <c r="D14" s="52"/>
      <c r="E14" s="52"/>
      <c r="F14" s="53" t="s">
        <v>66</v>
      </c>
      <c r="G14" s="53" t="s">
        <v>67</v>
      </c>
      <c r="H14" s="52"/>
      <c r="I14" s="52"/>
      <c r="J14" s="53" t="s">
        <v>68</v>
      </c>
      <c r="K14" s="52"/>
      <c r="L14" s="52"/>
      <c r="M14" s="53" t="s">
        <v>69</v>
      </c>
      <c r="N14" s="52"/>
      <c r="Q14" s="54"/>
    </row>
    <row r="15" ht="36" spans="2:17">
      <c r="B15" s="55" t="s">
        <v>70</v>
      </c>
      <c r="C15" s="53" t="s">
        <v>71</v>
      </c>
      <c r="D15" s="53" t="s">
        <v>72</v>
      </c>
      <c r="E15" s="53" t="s">
        <v>73</v>
      </c>
      <c r="F15" s="53" t="s">
        <v>66</v>
      </c>
      <c r="G15" s="53" t="s">
        <v>67</v>
      </c>
      <c r="H15" s="53" t="s">
        <v>74</v>
      </c>
      <c r="I15" s="53" t="s">
        <v>75</v>
      </c>
      <c r="J15" s="53" t="s">
        <v>68</v>
      </c>
      <c r="K15" s="53" t="s">
        <v>76</v>
      </c>
      <c r="L15" s="53" t="s">
        <v>77</v>
      </c>
      <c r="M15" s="53" t="s">
        <v>69</v>
      </c>
      <c r="N15" s="53" t="s">
        <v>78</v>
      </c>
      <c r="Q15" s="54"/>
    </row>
    <row r="16" spans="2:17">
      <c r="B16" s="56">
        <v>1</v>
      </c>
      <c r="C16" s="57">
        <v>0.1</v>
      </c>
      <c r="D16" s="58">
        <f t="shared" ref="D16:D35" si="0">4380*3</f>
        <v>13140</v>
      </c>
      <c r="E16" s="58">
        <f t="shared" ref="E16:E35" si="1">D16*M16</f>
        <v>5650.2</v>
      </c>
      <c r="F16" s="58">
        <v>400000</v>
      </c>
      <c r="G16" s="58">
        <f t="shared" ref="G16:G35" si="2">E16-F16</f>
        <v>-394349.8</v>
      </c>
      <c r="H16" s="58">
        <f t="shared" ref="H16:H35" si="3">D16*(1-$M$16)</f>
        <v>7489.8</v>
      </c>
      <c r="I16" s="58">
        <f>689.5*3/0.45*$I$5</f>
        <v>1884.63333333333</v>
      </c>
      <c r="J16" s="58">
        <f>F16*$I$5</f>
        <v>164000</v>
      </c>
      <c r="K16" s="58">
        <f t="shared" ref="K16:K35" si="4">$I$3*$I$4</f>
        <v>0</v>
      </c>
      <c r="L16" s="59">
        <f t="shared" ref="L16:L35" si="5">(I16+K16)/10000</f>
        <v>0.188463333333333</v>
      </c>
      <c r="M16" s="60">
        <v>0.43</v>
      </c>
      <c r="N16" s="59"/>
      <c r="Q16" s="54" t="s">
        <v>79</v>
      </c>
    </row>
    <row r="17" spans="2:27">
      <c r="B17" s="56">
        <v>2</v>
      </c>
      <c r="C17" s="57">
        <v>0.1</v>
      </c>
      <c r="D17" s="58">
        <f t="shared" si="0"/>
        <v>13140</v>
      </c>
      <c r="E17" s="58">
        <f t="shared" si="1"/>
        <v>8541</v>
      </c>
      <c r="F17" s="58">
        <v>400000</v>
      </c>
      <c r="G17" s="58">
        <f t="shared" si="2"/>
        <v>-391459</v>
      </c>
      <c r="H17" s="58">
        <f t="shared" si="3"/>
        <v>7489.8</v>
      </c>
      <c r="I17" s="58">
        <f t="shared" ref="I17:I26" si="6">689.5*3/0.45*$I$5</f>
        <v>1884.63333333333</v>
      </c>
      <c r="J17" s="58">
        <f t="shared" ref="J17:J35" si="7">F16*$I$5</f>
        <v>164000</v>
      </c>
      <c r="K17" s="58">
        <f t="shared" si="4"/>
        <v>0</v>
      </c>
      <c r="L17" s="59">
        <f t="shared" si="5"/>
        <v>0.188463333333333</v>
      </c>
      <c r="M17" s="61">
        <v>0.65</v>
      </c>
      <c r="N17" s="59"/>
      <c r="Q17" s="54" t="s">
        <v>80</v>
      </c>
    </row>
    <row r="18" spans="2:27">
      <c r="B18" s="56">
        <v>3</v>
      </c>
      <c r="C18" s="57">
        <v>0.1</v>
      </c>
      <c r="D18" s="58">
        <f t="shared" si="0"/>
        <v>13140</v>
      </c>
      <c r="E18" s="58">
        <f t="shared" si="1"/>
        <v>8541</v>
      </c>
      <c r="F18" s="58">
        <v>400000</v>
      </c>
      <c r="G18" s="58">
        <f t="shared" si="2"/>
        <v>-391459</v>
      </c>
      <c r="H18" s="58">
        <f t="shared" si="3"/>
        <v>7489.8</v>
      </c>
      <c r="I18" s="58">
        <f t="shared" si="6"/>
        <v>1884.63333333333</v>
      </c>
      <c r="J18" s="58">
        <f t="shared" si="7"/>
        <v>164000</v>
      </c>
      <c r="K18" s="58">
        <f t="shared" si="4"/>
        <v>0</v>
      </c>
      <c r="L18" s="59">
        <f t="shared" si="5"/>
        <v>0.188463333333333</v>
      </c>
      <c r="M18" s="61">
        <v>0.65</v>
      </c>
      <c r="N18" s="59"/>
      <c r="Q18" s="54" t="s">
        <v>81</v>
      </c>
    </row>
    <row r="19" spans="2:27">
      <c r="B19" s="56">
        <v>4</v>
      </c>
      <c r="C19" s="57">
        <v>0.1</v>
      </c>
      <c r="D19" s="58">
        <f t="shared" si="0"/>
        <v>13140</v>
      </c>
      <c r="E19" s="58">
        <f t="shared" si="1"/>
        <v>8541</v>
      </c>
      <c r="F19" s="58">
        <v>400000</v>
      </c>
      <c r="G19" s="58">
        <f t="shared" si="2"/>
        <v>-391459</v>
      </c>
      <c r="H19" s="58">
        <f t="shared" si="3"/>
        <v>7489.8</v>
      </c>
      <c r="I19" s="58">
        <f t="shared" si="6"/>
        <v>1884.63333333333</v>
      </c>
      <c r="J19" s="58">
        <f t="shared" si="7"/>
        <v>164000</v>
      </c>
      <c r="K19" s="58">
        <f t="shared" si="4"/>
        <v>0</v>
      </c>
      <c r="L19" s="59">
        <f t="shared" si="5"/>
        <v>0.188463333333333</v>
      </c>
      <c r="M19" s="61">
        <v>0.65</v>
      </c>
      <c r="N19" s="59"/>
      <c r="Q19" s="54" t="s">
        <v>82</v>
      </c>
    </row>
    <row r="20" spans="2:27">
      <c r="B20" s="56">
        <v>5</v>
      </c>
      <c r="C20" s="57">
        <v>0.1</v>
      </c>
      <c r="D20" s="58">
        <f t="shared" si="0"/>
        <v>13140</v>
      </c>
      <c r="E20" s="58">
        <f t="shared" si="1"/>
        <v>8541</v>
      </c>
      <c r="F20" s="58">
        <v>400000</v>
      </c>
      <c r="G20" s="58">
        <f t="shared" si="2"/>
        <v>-391459</v>
      </c>
      <c r="H20" s="58">
        <f t="shared" si="3"/>
        <v>7489.8</v>
      </c>
      <c r="I20" s="58">
        <f t="shared" si="6"/>
        <v>1884.63333333333</v>
      </c>
      <c r="J20" s="58">
        <f t="shared" si="7"/>
        <v>164000</v>
      </c>
      <c r="K20" s="58">
        <f t="shared" si="4"/>
        <v>0</v>
      </c>
      <c r="L20" s="59">
        <f t="shared" si="5"/>
        <v>0.188463333333333</v>
      </c>
      <c r="M20" s="61">
        <v>0.65</v>
      </c>
      <c r="N20" s="59"/>
    </row>
    <row r="21" spans="2:27">
      <c r="B21" s="56">
        <v>6</v>
      </c>
      <c r="C21" s="57">
        <v>0.1</v>
      </c>
      <c r="D21" s="58">
        <f t="shared" si="0"/>
        <v>13140</v>
      </c>
      <c r="E21" s="58">
        <f t="shared" si="1"/>
        <v>8541</v>
      </c>
      <c r="F21" s="58">
        <v>400000</v>
      </c>
      <c r="G21" s="58">
        <f t="shared" si="2"/>
        <v>-391459</v>
      </c>
      <c r="H21" s="58">
        <f t="shared" si="3"/>
        <v>7489.8</v>
      </c>
      <c r="I21" s="58">
        <f t="shared" si="6"/>
        <v>1884.63333333333</v>
      </c>
      <c r="J21" s="58">
        <f t="shared" si="7"/>
        <v>164000</v>
      </c>
      <c r="K21" s="58">
        <f t="shared" si="4"/>
        <v>0</v>
      </c>
      <c r="L21" s="59">
        <f t="shared" si="5"/>
        <v>0.188463333333333</v>
      </c>
      <c r="M21" s="61">
        <v>0.65</v>
      </c>
      <c r="N21" s="59"/>
      <c r="Q21" s="54" t="s">
        <v>83</v>
      </c>
    </row>
    <row r="22" spans="2:27">
      <c r="B22" s="56">
        <v>7</v>
      </c>
      <c r="C22" s="57">
        <v>0.1</v>
      </c>
      <c r="D22" s="58">
        <f t="shared" si="0"/>
        <v>13140</v>
      </c>
      <c r="E22" s="58">
        <f t="shared" si="1"/>
        <v>8541</v>
      </c>
      <c r="F22" s="58">
        <v>400000</v>
      </c>
      <c r="G22" s="58">
        <f t="shared" si="2"/>
        <v>-391459</v>
      </c>
      <c r="H22" s="58">
        <f t="shared" si="3"/>
        <v>7489.8</v>
      </c>
      <c r="I22" s="58">
        <f t="shared" si="6"/>
        <v>1884.63333333333</v>
      </c>
      <c r="J22" s="58">
        <f t="shared" si="7"/>
        <v>164000</v>
      </c>
      <c r="K22" s="58">
        <f t="shared" si="4"/>
        <v>0</v>
      </c>
      <c r="L22" s="59">
        <f t="shared" si="5"/>
        <v>0.188463333333333</v>
      </c>
      <c r="M22" s="61">
        <v>0.65</v>
      </c>
      <c r="N22" s="59"/>
      <c r="Q22" s="62" t="s">
        <v>84</v>
      </c>
      <c r="R22" s="62"/>
      <c r="S22" s="62"/>
      <c r="T22" s="63">
        <v>0.8</v>
      </c>
      <c r="U22" s="63"/>
      <c r="V22" s="63"/>
      <c r="W22" s="63"/>
      <c r="X22" s="63">
        <v>0.85</v>
      </c>
      <c r="Y22" s="63"/>
      <c r="Z22" s="63"/>
      <c r="AA22" s="63"/>
    </row>
    <row r="23" spans="2:27">
      <c r="B23" s="56">
        <v>8</v>
      </c>
      <c r="C23" s="57">
        <v>0.1</v>
      </c>
      <c r="D23" s="58">
        <f t="shared" si="0"/>
        <v>13140</v>
      </c>
      <c r="E23" s="58">
        <f t="shared" si="1"/>
        <v>8541</v>
      </c>
      <c r="F23" s="58">
        <v>400000</v>
      </c>
      <c r="G23" s="58">
        <f t="shared" si="2"/>
        <v>-391459</v>
      </c>
      <c r="H23" s="58">
        <f t="shared" si="3"/>
        <v>7489.8</v>
      </c>
      <c r="I23" s="58">
        <f t="shared" si="6"/>
        <v>1884.63333333333</v>
      </c>
      <c r="J23" s="58">
        <f t="shared" si="7"/>
        <v>164000</v>
      </c>
      <c r="K23" s="58">
        <f t="shared" si="4"/>
        <v>0</v>
      </c>
      <c r="L23" s="59">
        <f t="shared" si="5"/>
        <v>0.188463333333333</v>
      </c>
      <c r="M23" s="61">
        <v>0.65</v>
      </c>
      <c r="N23" s="59"/>
      <c r="Q23" s="62" t="s">
        <v>85</v>
      </c>
      <c r="R23" s="62"/>
      <c r="S23" s="62"/>
      <c r="T23" s="63">
        <v>0.75</v>
      </c>
      <c r="U23" s="63"/>
      <c r="V23" s="63"/>
      <c r="W23" s="63"/>
      <c r="X23" s="63">
        <v>0.8</v>
      </c>
      <c r="Y23" s="63"/>
      <c r="Z23" s="63"/>
      <c r="AA23" s="63"/>
    </row>
    <row r="24" spans="2:27">
      <c r="B24" s="56">
        <v>9</v>
      </c>
      <c r="C24" s="57">
        <v>0.1</v>
      </c>
      <c r="D24" s="58">
        <f t="shared" si="0"/>
        <v>13140</v>
      </c>
      <c r="E24" s="58">
        <f t="shared" si="1"/>
        <v>8541</v>
      </c>
      <c r="F24" s="58">
        <v>400000</v>
      </c>
      <c r="G24" s="58">
        <f t="shared" si="2"/>
        <v>-391459</v>
      </c>
      <c r="H24" s="58">
        <f t="shared" si="3"/>
        <v>7489.8</v>
      </c>
      <c r="I24" s="58">
        <f t="shared" si="6"/>
        <v>1884.63333333333</v>
      </c>
      <c r="J24" s="58">
        <f t="shared" si="7"/>
        <v>164000</v>
      </c>
      <c r="K24" s="58">
        <f t="shared" si="4"/>
        <v>0</v>
      </c>
      <c r="L24" s="59">
        <f t="shared" si="5"/>
        <v>0.188463333333333</v>
      </c>
      <c r="M24" s="61">
        <v>0.65</v>
      </c>
      <c r="N24" s="59"/>
      <c r="Q24" s="62" t="s">
        <v>86</v>
      </c>
      <c r="R24" s="62"/>
      <c r="S24" s="62"/>
      <c r="T24" s="63">
        <v>0.75</v>
      </c>
      <c r="U24" s="63"/>
      <c r="V24" s="63"/>
      <c r="W24" s="63"/>
      <c r="X24" s="63">
        <v>0.8</v>
      </c>
      <c r="Y24" s="63"/>
      <c r="Z24" s="63"/>
      <c r="AA24" s="63"/>
    </row>
    <row r="25" spans="2:27">
      <c r="B25" s="56">
        <v>10</v>
      </c>
      <c r="C25" s="57">
        <v>0.1</v>
      </c>
      <c r="D25" s="58">
        <f t="shared" si="0"/>
        <v>13140</v>
      </c>
      <c r="E25" s="58">
        <f t="shared" si="1"/>
        <v>8541</v>
      </c>
      <c r="F25" s="58">
        <v>400000</v>
      </c>
      <c r="G25" s="58">
        <f t="shared" si="2"/>
        <v>-391459</v>
      </c>
      <c r="H25" s="58">
        <f t="shared" si="3"/>
        <v>7489.8</v>
      </c>
      <c r="I25" s="58">
        <f t="shared" si="6"/>
        <v>1884.63333333333</v>
      </c>
      <c r="J25" s="58">
        <f t="shared" si="7"/>
        <v>164000</v>
      </c>
      <c r="K25" s="58">
        <f t="shared" si="4"/>
        <v>0</v>
      </c>
      <c r="L25" s="59">
        <f t="shared" si="5"/>
        <v>0.188463333333333</v>
      </c>
      <c r="M25" s="61">
        <v>0.65</v>
      </c>
      <c r="N25" s="59"/>
      <c r="Q25" s="54" t="s">
        <v>87</v>
      </c>
    </row>
    <row r="26" spans="2:27">
      <c r="B26" s="56">
        <v>11</v>
      </c>
      <c r="C26" s="57">
        <v>0.1</v>
      </c>
      <c r="D26" s="58">
        <f t="shared" si="0"/>
        <v>13140</v>
      </c>
      <c r="E26" s="58">
        <f t="shared" si="1"/>
        <v>8541</v>
      </c>
      <c r="F26" s="58">
        <v>400000</v>
      </c>
      <c r="G26" s="58">
        <f t="shared" si="2"/>
        <v>-391459</v>
      </c>
      <c r="H26" s="58">
        <f t="shared" si="3"/>
        <v>7489.8</v>
      </c>
      <c r="I26" s="58">
        <f t="shared" si="6"/>
        <v>1884.63333333333</v>
      </c>
      <c r="J26" s="58">
        <f t="shared" si="7"/>
        <v>164000</v>
      </c>
      <c r="K26" s="58">
        <f t="shared" si="4"/>
        <v>0</v>
      </c>
      <c r="L26" s="59">
        <f t="shared" si="5"/>
        <v>0.188463333333333</v>
      </c>
      <c r="M26" s="61">
        <v>0.65</v>
      </c>
      <c r="N26" s="59"/>
      <c r="Q26" s="64" t="s">
        <v>88</v>
      </c>
      <c r="R26" s="64">
        <f>[1]投资估算!$N$2</f>
        <v>0</v>
      </c>
      <c r="S26" s="64">
        <v>0.8</v>
      </c>
    </row>
    <row r="27" spans="2:27">
      <c r="B27" s="56">
        <v>12</v>
      </c>
      <c r="C27" s="57">
        <v>0.1</v>
      </c>
      <c r="D27" s="58">
        <f t="shared" si="0"/>
        <v>13140</v>
      </c>
      <c r="E27" s="58">
        <f t="shared" si="1"/>
        <v>8541</v>
      </c>
      <c r="F27" s="58">
        <v>400000</v>
      </c>
      <c r="G27" s="58">
        <f t="shared" si="2"/>
        <v>-391459</v>
      </c>
      <c r="H27" s="58">
        <f t="shared" si="3"/>
        <v>7489.8</v>
      </c>
      <c r="I27" s="58">
        <f t="shared" ref="I27:I40" si="8">689.5*3/0.45*$I$5</f>
        <v>1884.63333333333</v>
      </c>
      <c r="J27" s="58">
        <f t="shared" si="7"/>
        <v>164000</v>
      </c>
      <c r="K27" s="58">
        <f t="shared" si="4"/>
        <v>0</v>
      </c>
      <c r="L27" s="59">
        <f t="shared" si="5"/>
        <v>0.188463333333333</v>
      </c>
      <c r="M27" s="61">
        <v>0.65</v>
      </c>
      <c r="N27" s="59"/>
      <c r="Q27" s="64" t="s">
        <v>89</v>
      </c>
      <c r="R27" s="64">
        <f>[1]投资估算!$N$3</f>
        <v>0</v>
      </c>
      <c r="S27" s="64">
        <v>0.8</v>
      </c>
    </row>
    <row r="28" spans="2:27">
      <c r="B28" s="56">
        <v>13</v>
      </c>
      <c r="C28" s="57">
        <v>0.1</v>
      </c>
      <c r="D28" s="58">
        <f t="shared" si="0"/>
        <v>13140</v>
      </c>
      <c r="E28" s="58">
        <f t="shared" si="1"/>
        <v>8541</v>
      </c>
      <c r="F28" s="58">
        <v>400000</v>
      </c>
      <c r="G28" s="58">
        <f t="shared" si="2"/>
        <v>-391459</v>
      </c>
      <c r="H28" s="58">
        <f t="shared" si="3"/>
        <v>7489.8</v>
      </c>
      <c r="I28" s="58">
        <f t="shared" si="8"/>
        <v>1884.63333333333</v>
      </c>
      <c r="J28" s="58">
        <f t="shared" si="7"/>
        <v>164000</v>
      </c>
      <c r="K28" s="58">
        <f t="shared" si="4"/>
        <v>0</v>
      </c>
      <c r="L28" s="59">
        <f t="shared" si="5"/>
        <v>0.188463333333333</v>
      </c>
      <c r="M28" s="61">
        <v>0.65</v>
      </c>
      <c r="N28" s="59"/>
      <c r="Q28" s="64" t="s">
        <v>90</v>
      </c>
      <c r="R28" s="64">
        <f>[1]投资估算!$N$4</f>
        <v>0</v>
      </c>
      <c r="S28" s="64">
        <v>0.85</v>
      </c>
    </row>
    <row r="29" spans="2:27">
      <c r="B29" s="56">
        <v>14</v>
      </c>
      <c r="C29" s="57">
        <v>0.1</v>
      </c>
      <c r="D29" s="58">
        <f t="shared" si="0"/>
        <v>13140</v>
      </c>
      <c r="E29" s="58">
        <f t="shared" si="1"/>
        <v>8541</v>
      </c>
      <c r="F29" s="58">
        <v>400000</v>
      </c>
      <c r="G29" s="58">
        <f t="shared" si="2"/>
        <v>-391459</v>
      </c>
      <c r="H29" s="58">
        <f t="shared" si="3"/>
        <v>7489.8</v>
      </c>
      <c r="I29" s="58">
        <f t="shared" si="8"/>
        <v>1884.63333333333</v>
      </c>
      <c r="J29" s="58">
        <f t="shared" si="7"/>
        <v>164000</v>
      </c>
      <c r="K29" s="58">
        <f t="shared" si="4"/>
        <v>0</v>
      </c>
      <c r="L29" s="59">
        <f t="shared" si="5"/>
        <v>0.188463333333333</v>
      </c>
      <c r="M29" s="61">
        <v>0.65</v>
      </c>
      <c r="N29" s="59"/>
      <c r="Q29" s="64" t="s">
        <v>91</v>
      </c>
      <c r="R29" s="64">
        <f>[1]投资估算!$N$5</f>
        <v>0</v>
      </c>
      <c r="S29" s="64">
        <v>0.8</v>
      </c>
    </row>
    <row r="30" spans="2:27">
      <c r="B30" s="56">
        <v>15</v>
      </c>
      <c r="C30" s="57">
        <v>0.1</v>
      </c>
      <c r="D30" s="58">
        <f t="shared" si="0"/>
        <v>13140</v>
      </c>
      <c r="E30" s="58">
        <f t="shared" si="1"/>
        <v>8541</v>
      </c>
      <c r="F30" s="58">
        <v>400000</v>
      </c>
      <c r="G30" s="58">
        <f t="shared" si="2"/>
        <v>-391459</v>
      </c>
      <c r="H30" s="58">
        <f t="shared" si="3"/>
        <v>7489.8</v>
      </c>
      <c r="I30" s="58">
        <f t="shared" si="8"/>
        <v>1884.63333333333</v>
      </c>
      <c r="J30" s="58">
        <f t="shared" si="7"/>
        <v>164000</v>
      </c>
      <c r="K30" s="58">
        <f t="shared" si="4"/>
        <v>0</v>
      </c>
      <c r="L30" s="59">
        <f t="shared" si="5"/>
        <v>0.188463333333333</v>
      </c>
      <c r="M30" s="61">
        <v>0.65</v>
      </c>
      <c r="N30" s="59"/>
      <c r="Q30" s="64" t="s">
        <v>92</v>
      </c>
      <c r="R30" s="64">
        <f>[1]投资估算!$N$6</f>
        <v>0</v>
      </c>
      <c r="S30" s="64">
        <v>0.8</v>
      </c>
    </row>
    <row r="31" spans="2:27">
      <c r="B31" s="56">
        <v>16</v>
      </c>
      <c r="C31" s="57">
        <v>0.1</v>
      </c>
      <c r="D31" s="58">
        <f t="shared" si="0"/>
        <v>13140</v>
      </c>
      <c r="E31" s="58">
        <f t="shared" si="1"/>
        <v>8541</v>
      </c>
      <c r="F31" s="58">
        <v>400000</v>
      </c>
      <c r="G31" s="58">
        <f t="shared" si="2"/>
        <v>-391459</v>
      </c>
      <c r="H31" s="58">
        <f t="shared" si="3"/>
        <v>7489.8</v>
      </c>
      <c r="I31" s="58">
        <f t="shared" si="8"/>
        <v>1884.63333333333</v>
      </c>
      <c r="J31" s="58">
        <f t="shared" si="7"/>
        <v>164000</v>
      </c>
      <c r="K31" s="58">
        <f t="shared" si="4"/>
        <v>0</v>
      </c>
      <c r="L31" s="59">
        <f t="shared" si="5"/>
        <v>0.188463333333333</v>
      </c>
      <c r="M31" s="61">
        <v>0.65</v>
      </c>
      <c r="N31" s="59"/>
      <c r="Q31" s="64" t="s">
        <v>93</v>
      </c>
      <c r="R31" s="64">
        <f>[1]投资估算!$N$7</f>
        <v>3832.86</v>
      </c>
      <c r="S31" s="64">
        <v>0.8</v>
      </c>
    </row>
    <row r="32" spans="2:27">
      <c r="B32" s="56">
        <v>17</v>
      </c>
      <c r="C32" s="57">
        <v>0.1</v>
      </c>
      <c r="D32" s="58">
        <f t="shared" si="0"/>
        <v>13140</v>
      </c>
      <c r="E32" s="58">
        <f t="shared" si="1"/>
        <v>8541</v>
      </c>
      <c r="F32" s="58">
        <v>400000</v>
      </c>
      <c r="G32" s="58">
        <f t="shared" si="2"/>
        <v>-391459</v>
      </c>
      <c r="H32" s="58">
        <f t="shared" si="3"/>
        <v>7489.8</v>
      </c>
      <c r="I32" s="58">
        <f t="shared" si="8"/>
        <v>1884.63333333333</v>
      </c>
      <c r="J32" s="58">
        <f t="shared" si="7"/>
        <v>164000</v>
      </c>
      <c r="K32" s="58">
        <f t="shared" si="4"/>
        <v>0</v>
      </c>
      <c r="L32" s="59">
        <f t="shared" si="5"/>
        <v>0.188463333333333</v>
      </c>
      <c r="M32" s="61">
        <v>0.65</v>
      </c>
      <c r="N32" s="59"/>
    </row>
    <row r="33" spans="2:27">
      <c r="B33" s="56">
        <v>18</v>
      </c>
      <c r="C33" s="57">
        <v>0.1</v>
      </c>
      <c r="D33" s="58">
        <f t="shared" si="0"/>
        <v>13140</v>
      </c>
      <c r="E33" s="58">
        <f t="shared" si="1"/>
        <v>8541</v>
      </c>
      <c r="F33" s="58">
        <v>400000</v>
      </c>
      <c r="G33" s="58">
        <f t="shared" si="2"/>
        <v>-391459</v>
      </c>
      <c r="H33" s="58">
        <f t="shared" si="3"/>
        <v>7489.8</v>
      </c>
      <c r="I33" s="58">
        <f t="shared" si="8"/>
        <v>1884.63333333333</v>
      </c>
      <c r="J33" s="58">
        <f t="shared" si="7"/>
        <v>164000</v>
      </c>
      <c r="K33" s="58">
        <f t="shared" si="4"/>
        <v>0</v>
      </c>
      <c r="L33" s="59">
        <f t="shared" si="5"/>
        <v>0.188463333333333</v>
      </c>
      <c r="M33" s="61">
        <v>0.65</v>
      </c>
      <c r="N33" s="59"/>
    </row>
    <row r="34" spans="2:27">
      <c r="B34" s="56">
        <v>19</v>
      </c>
      <c r="C34" s="57">
        <v>0.1</v>
      </c>
      <c r="D34" s="58">
        <f t="shared" si="0"/>
        <v>13140</v>
      </c>
      <c r="E34" s="58">
        <f t="shared" si="1"/>
        <v>8541</v>
      </c>
      <c r="F34" s="58">
        <v>400000</v>
      </c>
      <c r="G34" s="58">
        <f t="shared" si="2"/>
        <v>-391459</v>
      </c>
      <c r="H34" s="58">
        <f t="shared" si="3"/>
        <v>7489.8</v>
      </c>
      <c r="I34" s="58">
        <f t="shared" si="8"/>
        <v>1884.63333333333</v>
      </c>
      <c r="J34" s="58">
        <f t="shared" si="7"/>
        <v>164000</v>
      </c>
      <c r="K34" s="58">
        <f t="shared" si="4"/>
        <v>0</v>
      </c>
      <c r="L34" s="59">
        <f t="shared" si="5"/>
        <v>0.188463333333333</v>
      </c>
      <c r="M34" s="61">
        <v>0.65</v>
      </c>
      <c r="N34" s="59"/>
      <c r="Q34" s="48"/>
    </row>
    <row r="35" spans="2:27">
      <c r="B35" s="56">
        <v>20</v>
      </c>
      <c r="C35" s="57">
        <v>0.1</v>
      </c>
      <c r="D35" s="58">
        <f t="shared" si="0"/>
        <v>13140</v>
      </c>
      <c r="E35" s="58">
        <f t="shared" si="1"/>
        <v>8541</v>
      </c>
      <c r="F35" s="58">
        <v>400000</v>
      </c>
      <c r="G35" s="58">
        <f t="shared" si="2"/>
        <v>-391459</v>
      </c>
      <c r="H35" s="58">
        <f t="shared" si="3"/>
        <v>7489.8</v>
      </c>
      <c r="I35" s="58">
        <f t="shared" si="8"/>
        <v>1884.63333333333</v>
      </c>
      <c r="J35" s="58">
        <f t="shared" si="7"/>
        <v>164000</v>
      </c>
      <c r="K35" s="58">
        <f t="shared" si="4"/>
        <v>0</v>
      </c>
      <c r="L35" s="59">
        <f t="shared" si="5"/>
        <v>0.188463333333333</v>
      </c>
      <c r="M35" s="61">
        <v>0.65</v>
      </c>
      <c r="N35" s="59"/>
    </row>
    <row r="36" hidden="1" spans="2:27">
      <c r="B36" s="56">
        <v>21</v>
      </c>
      <c r="C36" s="57">
        <f>C35-$I$9</f>
        <v>0.0945</v>
      </c>
      <c r="D36" s="58"/>
      <c r="E36" s="58"/>
      <c r="F36" s="58"/>
      <c r="G36" s="58"/>
      <c r="H36" s="58"/>
      <c r="I36" s="58"/>
      <c r="J36" s="58"/>
      <c r="K36" s="58"/>
      <c r="L36" s="59"/>
      <c r="M36" s="59"/>
      <c r="N36" s="59"/>
    </row>
    <row r="37" hidden="1" spans="2:27">
      <c r="B37" s="56">
        <v>22</v>
      </c>
      <c r="C37" s="57">
        <f>C36-$I$9</f>
        <v>0.089</v>
      </c>
      <c r="D37" s="58"/>
      <c r="E37" s="58"/>
      <c r="F37" s="58"/>
      <c r="G37" s="58">
        <f t="shared" ref="G37:G40" si="9">E36-F37</f>
        <v>0</v>
      </c>
      <c r="H37" s="58"/>
      <c r="I37" s="58"/>
      <c r="J37" s="58">
        <f t="shared" ref="J37:J40" si="10">F36*$I$5</f>
        <v>0</v>
      </c>
      <c r="K37" s="58"/>
      <c r="L37" s="59"/>
      <c r="M37" s="59"/>
      <c r="N37" s="59"/>
    </row>
    <row r="38" hidden="1" spans="2:27">
      <c r="B38" s="56">
        <v>23</v>
      </c>
      <c r="C38" s="57">
        <f>C37-$I$9</f>
        <v>0.0835</v>
      </c>
      <c r="D38" s="58"/>
      <c r="E38" s="58"/>
      <c r="F38" s="58"/>
      <c r="G38" s="58">
        <f t="shared" si="9"/>
        <v>0</v>
      </c>
      <c r="H38" s="58"/>
      <c r="I38" s="58"/>
      <c r="J38" s="58">
        <f t="shared" si="10"/>
        <v>0</v>
      </c>
      <c r="K38" s="58"/>
      <c r="L38" s="59"/>
      <c r="M38" s="59"/>
      <c r="N38" s="59"/>
    </row>
    <row r="39" hidden="1" spans="2:27">
      <c r="B39" s="56">
        <v>24</v>
      </c>
      <c r="C39" s="57">
        <f>C38-$I$9</f>
        <v>0.078</v>
      </c>
      <c r="D39" s="58"/>
      <c r="E39" s="58"/>
      <c r="F39" s="58"/>
      <c r="G39" s="58">
        <f t="shared" si="9"/>
        <v>0</v>
      </c>
      <c r="H39" s="58"/>
      <c r="I39" s="58"/>
      <c r="J39" s="58">
        <f t="shared" si="10"/>
        <v>0</v>
      </c>
      <c r="K39" s="58"/>
      <c r="L39" s="59"/>
      <c r="M39" s="59"/>
      <c r="N39" s="59"/>
    </row>
    <row r="40" hidden="1" spans="2:27">
      <c r="B40" s="56">
        <v>25</v>
      </c>
      <c r="C40" s="57">
        <f>C39-$I$9</f>
        <v>0.0725</v>
      </c>
      <c r="D40" s="58"/>
      <c r="E40" s="58"/>
      <c r="F40" s="58"/>
      <c r="G40" s="58">
        <f t="shared" si="9"/>
        <v>0</v>
      </c>
      <c r="H40" s="58"/>
      <c r="I40" s="58"/>
      <c r="J40" s="58">
        <f t="shared" si="10"/>
        <v>0</v>
      </c>
      <c r="K40" s="58"/>
      <c r="L40" s="59"/>
      <c r="M40" s="65"/>
      <c r="N40" s="59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</row>
    <row r="41" spans="2:27">
      <c r="B41" s="67" t="s">
        <v>94</v>
      </c>
      <c r="C41" s="67"/>
      <c r="D41" s="45">
        <f t="shared" ref="D41:L41" si="11">D42/$B$42</f>
        <v>13140</v>
      </c>
      <c r="E41" s="45">
        <f t="shared" si="11"/>
        <v>8396.46</v>
      </c>
      <c r="F41" s="45">
        <f t="shared" si="11"/>
        <v>400000</v>
      </c>
      <c r="G41" s="45">
        <f t="shared" si="11"/>
        <v>-391603.54</v>
      </c>
      <c r="H41" s="45">
        <f t="shared" si="11"/>
        <v>7489.8</v>
      </c>
      <c r="I41" s="45">
        <f t="shared" si="11"/>
        <v>1884.63333333333</v>
      </c>
      <c r="J41" s="45">
        <f t="shared" si="11"/>
        <v>164000</v>
      </c>
      <c r="K41" s="45">
        <f t="shared" si="11"/>
        <v>0</v>
      </c>
      <c r="L41" s="65">
        <f t="shared" si="11"/>
        <v>0.188463333333333</v>
      </c>
      <c r="M41" s="65"/>
      <c r="N41" s="59"/>
    </row>
    <row r="42" spans="2:27">
      <c r="B42" s="68">
        <f>I12</f>
        <v>20</v>
      </c>
      <c r="C42" s="68"/>
      <c r="D42" s="45">
        <f t="shared" ref="D42:L42" si="12">SUM(D16:D40)</f>
        <v>262800</v>
      </c>
      <c r="E42" s="45">
        <f t="shared" si="12"/>
        <v>167929.2</v>
      </c>
      <c r="F42" s="45">
        <f t="shared" si="12"/>
        <v>8000000</v>
      </c>
      <c r="G42" s="45">
        <f t="shared" si="12"/>
        <v>-7832070.8</v>
      </c>
      <c r="H42" s="45">
        <f t="shared" si="12"/>
        <v>149796</v>
      </c>
      <c r="I42" s="45">
        <f t="shared" si="12"/>
        <v>37692.6666666667</v>
      </c>
      <c r="J42" s="45">
        <f t="shared" si="12"/>
        <v>3280000</v>
      </c>
      <c r="K42" s="45">
        <f t="shared" si="12"/>
        <v>0</v>
      </c>
      <c r="L42" s="65">
        <f t="shared" si="12"/>
        <v>3.76926666666667</v>
      </c>
      <c r="M42" s="69"/>
      <c r="N42" s="59"/>
    </row>
    <row r="43" spans="2:27">
      <c r="F43" s="70"/>
      <c r="G43" s="70"/>
      <c r="J43" s="70"/>
      <c r="M43" s="70"/>
    </row>
    <row r="44" spans="2:27">
      <c r="B44" s="70" t="s">
        <v>95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</row>
    <row r="45" spans="2:27">
      <c r="B45" s="70" t="s">
        <v>96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</row>
  </sheetData>
  <mergeCells count="39">
    <mergeCell ref="B1:N1"/>
    <mergeCell ref="B2:H2"/>
    <mergeCell ref="I2:N2"/>
    <mergeCell ref="B3:H3"/>
    <mergeCell ref="I3:N3"/>
    <mergeCell ref="B4:H4"/>
    <mergeCell ref="I4:N4"/>
    <mergeCell ref="B5:H5"/>
    <mergeCell ref="I5:N5"/>
    <mergeCell ref="B6:H6"/>
    <mergeCell ref="I6:N6"/>
    <mergeCell ref="B7:H7"/>
    <mergeCell ref="I7:N7"/>
    <mergeCell ref="B8:H8"/>
    <mergeCell ref="I8:N8"/>
    <mergeCell ref="B9:H9"/>
    <mergeCell ref="I9:N9"/>
    <mergeCell ref="B10:H10"/>
    <mergeCell ref="I10:N10"/>
    <mergeCell ref="B11:H11"/>
    <mergeCell ref="I11:N11"/>
    <mergeCell ref="B12:H12"/>
    <mergeCell ref="I12:N12"/>
    <mergeCell ref="B13:H13"/>
    <mergeCell ref="I13:N13"/>
    <mergeCell ref="B14:N14"/>
    <mergeCell ref="Q22:S22"/>
    <mergeCell ref="T22:W22"/>
    <mergeCell ref="X22:AA22"/>
    <mergeCell ref="Q23:S23"/>
    <mergeCell ref="T23:W23"/>
    <mergeCell ref="X23:AA23"/>
    <mergeCell ref="Q24:S24"/>
    <mergeCell ref="T24:W24"/>
    <mergeCell ref="X24:AA24"/>
    <mergeCell ref="B41:C41"/>
    <mergeCell ref="B42:C42"/>
    <mergeCell ref="B44:N44"/>
    <mergeCell ref="B45:N45"/>
  </mergeCells>
  <pageMargins left="0.75" right="0.75" top="1" bottom="1" header="0.511805555555556" footer="0.511805555555556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0000"/>
    <pageSetUpPr fitToPage="1"/>
  </sheetPr>
  <dimension ref="A1:M43"/>
  <sheetViews>
    <sheetView tabSelected="1" view="pageBreakPreview" zoomScale="55" zoomScaleNormal="100" workbookViewId="0">
      <selection activeCell="J39" sqref="J39"/>
    </sheetView>
  </sheetViews>
  <sheetFormatPr defaultColWidth="9.84166666666667" defaultRowHeight="25.5"/>
  <cols>
    <col min="1" max="1" width="9.19166666666667" style="3" customWidth="1"/>
    <col min="2" max="2" width="8.45" style="3" customWidth="1"/>
    <col min="3" max="3" width="24.0666666666667" style="4" customWidth="1"/>
    <col min="4" max="4" width="90" style="4" customWidth="1"/>
    <col min="5" max="5" width="9.68333333333333" style="5" customWidth="1"/>
    <col min="6" max="6" width="28.4416666666667" style="5" customWidth="1"/>
    <col min="7" max="8" width="19.725" style="6" customWidth="1"/>
    <col min="9" max="9" width="19.3916666666667" style="7" customWidth="1"/>
    <col min="10" max="10" width="30.175" style="3" customWidth="1"/>
    <col min="11" max="11" width="24.8833333333333" style="8" hidden="1" customWidth="1"/>
    <col min="12" max="12" width="59.5666666666667" style="9" hidden="1" customWidth="1"/>
    <col min="13" max="372" width="9.84166666666667" style="1" hidden="1" customWidth="1"/>
    <col min="373" max="16384" width="9.84166666666667" style="1"/>
  </cols>
  <sheetData>
    <row r="1" s="1" customFormat="1" ht="44" customHeight="1" spans="1:12">
      <c r="A1" s="10" t="s">
        <v>97</v>
      </c>
      <c r="B1" s="10"/>
      <c r="C1" s="10"/>
      <c r="D1" s="10"/>
      <c r="E1" s="10"/>
      <c r="F1" s="10"/>
      <c r="G1" s="11"/>
      <c r="H1" s="11"/>
      <c r="I1" s="12"/>
      <c r="J1" s="10"/>
      <c r="K1" s="8"/>
      <c r="L1" s="9"/>
    </row>
    <row r="2" s="2" customFormat="1" ht="50" customHeight="1" spans="1:12">
      <c r="A2" s="13" t="s">
        <v>98</v>
      </c>
      <c r="B2" s="13" t="s">
        <v>99</v>
      </c>
      <c r="C2" s="13"/>
      <c r="D2" s="14" t="s">
        <v>100</v>
      </c>
      <c r="E2" s="14" t="s">
        <v>101</v>
      </c>
      <c r="F2" s="14" t="s">
        <v>102</v>
      </c>
      <c r="G2" s="15" t="s">
        <v>103</v>
      </c>
      <c r="H2" s="16" t="s">
        <v>104</v>
      </c>
      <c r="I2" s="17" t="s">
        <v>105</v>
      </c>
      <c r="J2" s="14" t="s">
        <v>78</v>
      </c>
      <c r="K2" s="18"/>
      <c r="L2" s="19"/>
    </row>
    <row r="3" s="1" customFormat="1" ht="30" customHeight="1" spans="1:12">
      <c r="A3" s="20">
        <v>1</v>
      </c>
      <c r="B3" s="21" t="s">
        <v>106</v>
      </c>
      <c r="C3" s="21" t="s">
        <v>107</v>
      </c>
      <c r="D3" s="21" t="s">
        <v>108</v>
      </c>
      <c r="E3" s="22">
        <v>14</v>
      </c>
      <c r="F3" s="21" t="s">
        <v>109</v>
      </c>
      <c r="G3" s="23">
        <v>600</v>
      </c>
      <c r="H3" s="23"/>
      <c r="I3" s="24">
        <f>E3*H3</f>
        <v>0</v>
      </c>
      <c r="J3" s="21"/>
      <c r="K3" s="18"/>
      <c r="L3" s="9"/>
    </row>
    <row r="4" s="1" customFormat="1" ht="30" customHeight="1" spans="1:12">
      <c r="A4" s="20">
        <v>2</v>
      </c>
      <c r="B4" s="21"/>
      <c r="C4" s="21" t="s">
        <v>110</v>
      </c>
      <c r="D4" s="21" t="s">
        <v>111</v>
      </c>
      <c r="E4" s="22">
        <v>14</v>
      </c>
      <c r="F4" s="21" t="s">
        <v>112</v>
      </c>
      <c r="G4" s="23">
        <v>487</v>
      </c>
      <c r="H4" s="23"/>
      <c r="I4" s="24">
        <f t="shared" ref="I4:I38" si="0">E4*H4</f>
        <v>0</v>
      </c>
      <c r="J4" s="21"/>
      <c r="K4" s="18"/>
      <c r="L4" s="9"/>
    </row>
    <row r="5" s="1" customFormat="1" ht="30" customHeight="1" spans="1:12">
      <c r="A5" s="20">
        <v>3</v>
      </c>
      <c r="B5" s="21"/>
      <c r="C5" s="21" t="s">
        <v>113</v>
      </c>
      <c r="D5" s="21" t="s">
        <v>114</v>
      </c>
      <c r="E5" s="21">
        <v>140</v>
      </c>
      <c r="F5" s="21" t="s">
        <v>112</v>
      </c>
      <c r="G5" s="23">
        <v>30.5</v>
      </c>
      <c r="H5" s="23"/>
      <c r="I5" s="24">
        <f t="shared" si="0"/>
        <v>0</v>
      </c>
      <c r="J5" s="25" t="s">
        <v>115</v>
      </c>
      <c r="K5" s="18"/>
      <c r="L5" s="26"/>
    </row>
    <row r="6" s="1" customFormat="1" ht="57" customHeight="1" spans="1:12">
      <c r="A6" s="20">
        <v>4</v>
      </c>
      <c r="B6" s="21"/>
      <c r="C6" s="20" t="s">
        <v>116</v>
      </c>
      <c r="D6" s="21" t="s">
        <v>117</v>
      </c>
      <c r="E6" s="21">
        <v>1</v>
      </c>
      <c r="F6" s="21" t="s">
        <v>112</v>
      </c>
      <c r="G6" s="23">
        <v>581.68</v>
      </c>
      <c r="H6" s="23"/>
      <c r="I6" s="24">
        <f t="shared" si="0"/>
        <v>0</v>
      </c>
      <c r="J6" s="21"/>
      <c r="K6" s="18"/>
      <c r="L6" s="9"/>
    </row>
    <row r="7" s="1" customFormat="1" ht="57.35" customHeight="1" spans="1:12">
      <c r="A7" s="20">
        <v>5</v>
      </c>
      <c r="B7" s="21"/>
      <c r="C7" s="20"/>
      <c r="D7" s="21" t="s">
        <v>118</v>
      </c>
      <c r="E7" s="21">
        <v>1</v>
      </c>
      <c r="F7" s="21" t="s">
        <v>112</v>
      </c>
      <c r="G7" s="23">
        <v>426.35</v>
      </c>
      <c r="H7" s="23"/>
      <c r="I7" s="24">
        <f t="shared" si="0"/>
        <v>0</v>
      </c>
      <c r="J7" s="27"/>
      <c r="K7" s="18"/>
      <c r="L7" s="9"/>
    </row>
    <row r="8" s="1" customFormat="1" ht="57.35" customHeight="1" spans="1:12">
      <c r="A8" s="20">
        <v>6</v>
      </c>
      <c r="B8" s="21"/>
      <c r="C8" s="20" t="s">
        <v>119</v>
      </c>
      <c r="D8" s="21" t="s">
        <v>120</v>
      </c>
      <c r="E8" s="21">
        <v>2</v>
      </c>
      <c r="F8" s="21" t="s">
        <v>112</v>
      </c>
      <c r="G8" s="23">
        <v>903</v>
      </c>
      <c r="H8" s="23"/>
      <c r="I8" s="24">
        <f t="shared" si="0"/>
        <v>0</v>
      </c>
      <c r="J8" s="27"/>
      <c r="K8" s="18"/>
      <c r="L8" s="9"/>
    </row>
    <row r="9" s="1" customFormat="1" ht="30" customHeight="1" spans="1:12">
      <c r="A9" s="20">
        <v>7</v>
      </c>
      <c r="B9" s="21"/>
      <c r="C9" s="20"/>
      <c r="D9" s="21" t="s">
        <v>121</v>
      </c>
      <c r="E9" s="21">
        <v>2</v>
      </c>
      <c r="F9" s="21" t="s">
        <v>122</v>
      </c>
      <c r="G9" s="23">
        <v>85.48</v>
      </c>
      <c r="H9" s="23"/>
      <c r="I9" s="24">
        <f t="shared" si="0"/>
        <v>0</v>
      </c>
      <c r="J9" s="21"/>
      <c r="K9" s="28"/>
      <c r="L9" s="9"/>
    </row>
    <row r="10" s="1" customFormat="1" ht="30" customHeight="1" spans="1:12">
      <c r="A10" s="20">
        <v>8</v>
      </c>
      <c r="B10" s="21"/>
      <c r="C10" s="20"/>
      <c r="D10" s="21" t="s">
        <v>123</v>
      </c>
      <c r="E10" s="21">
        <v>1</v>
      </c>
      <c r="F10" s="21" t="s">
        <v>122</v>
      </c>
      <c r="G10" s="23">
        <v>54.85</v>
      </c>
      <c r="H10" s="23"/>
      <c r="I10" s="24">
        <f t="shared" si="0"/>
        <v>0</v>
      </c>
      <c r="J10" s="21"/>
      <c r="K10" s="28"/>
      <c r="L10" s="9"/>
    </row>
    <row r="11" s="1" customFormat="1" ht="30" customHeight="1" spans="1:12">
      <c r="A11" s="20">
        <v>9</v>
      </c>
      <c r="B11" s="21"/>
      <c r="C11" s="20" t="s">
        <v>124</v>
      </c>
      <c r="D11" s="20" t="s">
        <v>125</v>
      </c>
      <c r="E11" s="21">
        <v>26</v>
      </c>
      <c r="F11" s="21" t="s">
        <v>126</v>
      </c>
      <c r="G11" s="23">
        <v>45.4</v>
      </c>
      <c r="H11" s="23"/>
      <c r="I11" s="24">
        <f t="shared" si="0"/>
        <v>0</v>
      </c>
      <c r="J11" s="21"/>
      <c r="K11" s="18"/>
      <c r="L11" s="29"/>
    </row>
    <row r="12" s="1" customFormat="1" ht="30" customHeight="1" spans="1:12">
      <c r="A12" s="20">
        <v>10</v>
      </c>
      <c r="B12" s="21"/>
      <c r="C12" s="20"/>
      <c r="D12" s="21" t="s">
        <v>127</v>
      </c>
      <c r="E12" s="21">
        <v>20</v>
      </c>
      <c r="F12" s="21" t="s">
        <v>126</v>
      </c>
      <c r="G12" s="23">
        <v>13.28</v>
      </c>
      <c r="H12" s="23"/>
      <c r="I12" s="24">
        <f t="shared" si="0"/>
        <v>0</v>
      </c>
      <c r="J12" s="21"/>
      <c r="K12" s="18"/>
      <c r="L12" s="9"/>
    </row>
    <row r="13" s="1" customFormat="1" ht="30" customHeight="1" spans="1:12">
      <c r="A13" s="20">
        <v>11</v>
      </c>
      <c r="B13" s="21"/>
      <c r="C13" s="20"/>
      <c r="D13" s="21" t="s">
        <v>128</v>
      </c>
      <c r="E13" s="21">
        <v>104</v>
      </c>
      <c r="F13" s="21" t="s">
        <v>126</v>
      </c>
      <c r="G13" s="23">
        <v>8.32</v>
      </c>
      <c r="H13" s="23"/>
      <c r="I13" s="24">
        <f t="shared" si="0"/>
        <v>0</v>
      </c>
      <c r="J13" s="21"/>
      <c r="K13" s="18"/>
      <c r="L13" s="9"/>
    </row>
    <row r="14" s="1" customFormat="1" ht="30" customHeight="1" spans="1:12">
      <c r="A14" s="20">
        <v>12</v>
      </c>
      <c r="B14" s="21"/>
      <c r="C14" s="20"/>
      <c r="D14" s="21" t="s">
        <v>129</v>
      </c>
      <c r="E14" s="21">
        <v>1466</v>
      </c>
      <c r="F14" s="21" t="s">
        <v>126</v>
      </c>
      <c r="G14" s="23">
        <v>6.03</v>
      </c>
      <c r="H14" s="23"/>
      <c r="I14" s="24">
        <f t="shared" si="0"/>
        <v>0</v>
      </c>
      <c r="J14" s="21"/>
      <c r="K14" s="18"/>
      <c r="L14" s="9"/>
    </row>
    <row r="15" s="1" customFormat="1" ht="30" customHeight="1" spans="1:12">
      <c r="A15" s="20">
        <v>13</v>
      </c>
      <c r="B15" s="21"/>
      <c r="C15" s="20"/>
      <c r="D15" s="21" t="s">
        <v>130</v>
      </c>
      <c r="E15" s="21">
        <v>1820</v>
      </c>
      <c r="F15" s="21" t="s">
        <v>126</v>
      </c>
      <c r="G15" s="23">
        <v>4.61</v>
      </c>
      <c r="H15" s="23"/>
      <c r="I15" s="24">
        <f t="shared" si="0"/>
        <v>0</v>
      </c>
      <c r="J15" s="21"/>
      <c r="K15" s="18"/>
      <c r="L15" s="9"/>
    </row>
    <row r="16" s="1" customFormat="1" ht="30" customHeight="1" spans="1:12">
      <c r="A16" s="20">
        <v>14</v>
      </c>
      <c r="B16" s="21"/>
      <c r="C16" s="20"/>
      <c r="D16" s="21" t="s">
        <v>131</v>
      </c>
      <c r="E16" s="21">
        <v>210</v>
      </c>
      <c r="F16" s="21" t="s">
        <v>126</v>
      </c>
      <c r="G16" s="23">
        <v>4.35</v>
      </c>
      <c r="H16" s="23"/>
      <c r="I16" s="24">
        <f t="shared" si="0"/>
        <v>0</v>
      </c>
      <c r="J16" s="21"/>
      <c r="K16" s="18"/>
      <c r="L16" s="9"/>
    </row>
    <row r="17" s="1" customFormat="1" ht="30" customHeight="1" spans="1:12">
      <c r="A17" s="20">
        <v>15</v>
      </c>
      <c r="B17" s="21"/>
      <c r="C17" s="21" t="s">
        <v>132</v>
      </c>
      <c r="D17" s="21" t="s">
        <v>133</v>
      </c>
      <c r="E17" s="21">
        <v>48</v>
      </c>
      <c r="F17" s="21" t="s">
        <v>126</v>
      </c>
      <c r="G17" s="23">
        <v>19.8</v>
      </c>
      <c r="H17" s="23"/>
      <c r="I17" s="24">
        <f t="shared" si="0"/>
        <v>0</v>
      </c>
      <c r="J17" s="21"/>
      <c r="K17" s="18"/>
      <c r="L17" s="26" t="s">
        <v>134</v>
      </c>
    </row>
    <row r="18" s="1" customFormat="1" ht="30" customHeight="1" spans="1:12">
      <c r="A18" s="20">
        <v>16</v>
      </c>
      <c r="B18" s="21"/>
      <c r="C18" s="20" t="s">
        <v>135</v>
      </c>
      <c r="D18" s="30" t="s">
        <v>136</v>
      </c>
      <c r="E18" s="21">
        <v>14</v>
      </c>
      <c r="F18" s="21" t="s">
        <v>112</v>
      </c>
      <c r="G18" s="23">
        <v>164.38</v>
      </c>
      <c r="H18" s="23"/>
      <c r="I18" s="24">
        <f t="shared" si="0"/>
        <v>0</v>
      </c>
      <c r="J18" s="21"/>
      <c r="K18" s="18"/>
      <c r="L18" s="26" t="s">
        <v>137</v>
      </c>
    </row>
    <row r="19" s="1" customFormat="1" ht="57.35" customHeight="1" spans="1:12">
      <c r="A19" s="20">
        <v>17</v>
      </c>
      <c r="B19" s="21" t="s">
        <v>138</v>
      </c>
      <c r="C19" s="20" t="s">
        <v>139</v>
      </c>
      <c r="D19" s="30" t="s">
        <v>140</v>
      </c>
      <c r="E19" s="21">
        <v>4</v>
      </c>
      <c r="F19" s="21" t="s">
        <v>112</v>
      </c>
      <c r="G19" s="23">
        <v>1423.4</v>
      </c>
      <c r="H19" s="23"/>
      <c r="I19" s="24">
        <f t="shared" si="0"/>
        <v>0</v>
      </c>
      <c r="J19" s="21"/>
      <c r="K19" s="18"/>
      <c r="L19" s="26"/>
    </row>
    <row r="20" s="1" customFormat="1" ht="30" customHeight="1" spans="1:12">
      <c r="A20" s="20">
        <v>18</v>
      </c>
      <c r="B20" s="21"/>
      <c r="C20" s="20" t="s">
        <v>141</v>
      </c>
      <c r="D20" s="20" t="s">
        <v>142</v>
      </c>
      <c r="E20" s="21">
        <v>12</v>
      </c>
      <c r="F20" s="21" t="s">
        <v>122</v>
      </c>
      <c r="G20" s="23">
        <v>111.14</v>
      </c>
      <c r="H20" s="23"/>
      <c r="I20" s="24">
        <f t="shared" si="0"/>
        <v>0</v>
      </c>
      <c r="J20" s="21"/>
      <c r="K20" s="18"/>
      <c r="L20" s="26"/>
    </row>
    <row r="21" s="1" customFormat="1" ht="30" customHeight="1" spans="1:12">
      <c r="A21" s="20">
        <v>19</v>
      </c>
      <c r="B21" s="21"/>
      <c r="C21" s="20" t="s">
        <v>143</v>
      </c>
      <c r="D21" s="20" t="s">
        <v>144</v>
      </c>
      <c r="E21" s="21">
        <v>19</v>
      </c>
      <c r="F21" s="21" t="s">
        <v>122</v>
      </c>
      <c r="G21" s="23">
        <v>136.75</v>
      </c>
      <c r="H21" s="23"/>
      <c r="I21" s="24">
        <f t="shared" si="0"/>
        <v>0</v>
      </c>
      <c r="J21" s="21"/>
      <c r="K21" s="18"/>
      <c r="L21" s="26"/>
    </row>
    <row r="22" s="1" customFormat="1" ht="30" customHeight="1" spans="1:12">
      <c r="A22" s="20">
        <v>20</v>
      </c>
      <c r="B22" s="21"/>
      <c r="C22" s="20" t="s">
        <v>145</v>
      </c>
      <c r="D22" s="20" t="s">
        <v>146</v>
      </c>
      <c r="E22" s="21">
        <v>90</v>
      </c>
      <c r="F22" s="21" t="s">
        <v>126</v>
      </c>
      <c r="G22" s="23">
        <v>50.5</v>
      </c>
      <c r="H22" s="23"/>
      <c r="I22" s="24">
        <f t="shared" si="0"/>
        <v>0</v>
      </c>
      <c r="J22" s="21"/>
      <c r="K22" s="18"/>
      <c r="L22" s="26" t="s">
        <v>147</v>
      </c>
    </row>
    <row r="23" s="1" customFormat="1" ht="57.35" customHeight="1" spans="1:12">
      <c r="A23" s="20">
        <v>21</v>
      </c>
      <c r="B23" s="21"/>
      <c r="C23" s="20" t="s">
        <v>148</v>
      </c>
      <c r="D23" s="25" t="s">
        <v>149</v>
      </c>
      <c r="E23" s="21">
        <v>36</v>
      </c>
      <c r="F23" s="21" t="s">
        <v>122</v>
      </c>
      <c r="G23" s="23">
        <v>42.55</v>
      </c>
      <c r="H23" s="23"/>
      <c r="I23" s="24">
        <f t="shared" si="0"/>
        <v>0</v>
      </c>
      <c r="J23" s="21"/>
      <c r="K23" s="18"/>
      <c r="L23" s="26"/>
    </row>
    <row r="24" s="1" customFormat="1" ht="30" customHeight="1" spans="1:12">
      <c r="A24" s="20">
        <v>22</v>
      </c>
      <c r="B24" s="21"/>
      <c r="C24" s="20" t="s">
        <v>150</v>
      </c>
      <c r="D24" s="20" t="s">
        <v>151</v>
      </c>
      <c r="E24" s="21">
        <v>2</v>
      </c>
      <c r="F24" s="21" t="s">
        <v>109</v>
      </c>
      <c r="G24" s="23">
        <v>236</v>
      </c>
      <c r="H24" s="23"/>
      <c r="I24" s="24">
        <f t="shared" si="0"/>
        <v>0</v>
      </c>
      <c r="J24" s="21"/>
      <c r="K24" s="18"/>
      <c r="L24" s="26" t="s">
        <v>152</v>
      </c>
    </row>
    <row r="25" s="1" customFormat="1" ht="30" customHeight="1" spans="1:12">
      <c r="A25" s="20">
        <v>23</v>
      </c>
      <c r="B25" s="21"/>
      <c r="C25" s="20" t="s">
        <v>153</v>
      </c>
      <c r="D25" s="20" t="s">
        <v>154</v>
      </c>
      <c r="E25" s="21">
        <v>17</v>
      </c>
      <c r="F25" s="21" t="s">
        <v>126</v>
      </c>
      <c r="G25" s="23">
        <v>14.86</v>
      </c>
      <c r="H25" s="23"/>
      <c r="I25" s="24">
        <f t="shared" si="0"/>
        <v>0</v>
      </c>
      <c r="J25" s="21"/>
      <c r="K25" s="18"/>
      <c r="L25" s="26"/>
    </row>
    <row r="26" s="1" customFormat="1" ht="30" customHeight="1" spans="1:12">
      <c r="A26" s="20">
        <v>24</v>
      </c>
      <c r="B26" s="21"/>
      <c r="C26" s="20" t="s">
        <v>155</v>
      </c>
      <c r="D26" s="21" t="s">
        <v>156</v>
      </c>
      <c r="E26" s="21">
        <v>17</v>
      </c>
      <c r="F26" s="21" t="s">
        <v>126</v>
      </c>
      <c r="G26" s="23">
        <v>17.19</v>
      </c>
      <c r="H26" s="23"/>
      <c r="I26" s="24">
        <f t="shared" si="0"/>
        <v>0</v>
      </c>
      <c r="J26" s="21"/>
      <c r="K26" s="18"/>
      <c r="L26" s="26" t="s">
        <v>157</v>
      </c>
    </row>
    <row r="27" s="1" customFormat="1" ht="30" customHeight="1" spans="1:12">
      <c r="A27" s="20">
        <v>25</v>
      </c>
      <c r="B27" s="21"/>
      <c r="C27" s="20" t="s">
        <v>158</v>
      </c>
      <c r="D27" s="20" t="s">
        <v>159</v>
      </c>
      <c r="E27" s="21">
        <v>2</v>
      </c>
      <c r="F27" s="21" t="s">
        <v>112</v>
      </c>
      <c r="G27" s="23">
        <v>133.75</v>
      </c>
      <c r="H27" s="23"/>
      <c r="I27" s="24">
        <f t="shared" si="0"/>
        <v>0</v>
      </c>
      <c r="J27" s="21"/>
      <c r="K27" s="18"/>
      <c r="L27" s="26" t="s">
        <v>160</v>
      </c>
    </row>
    <row r="28" s="1" customFormat="1" ht="30" customHeight="1" spans="1:12">
      <c r="A28" s="20">
        <v>26</v>
      </c>
      <c r="B28" s="21"/>
      <c r="C28" s="20" t="s">
        <v>161</v>
      </c>
      <c r="D28" s="21" t="s">
        <v>162</v>
      </c>
      <c r="E28" s="21">
        <v>4</v>
      </c>
      <c r="F28" s="21" t="s">
        <v>163</v>
      </c>
      <c r="G28" s="23">
        <v>28.7</v>
      </c>
      <c r="H28" s="23"/>
      <c r="I28" s="24">
        <f t="shared" si="0"/>
        <v>0</v>
      </c>
      <c r="J28" s="31"/>
      <c r="K28" s="18"/>
      <c r="L28" s="32"/>
    </row>
    <row r="29" s="1" customFormat="1" ht="30" customHeight="1" spans="1:12">
      <c r="A29" s="20">
        <v>27</v>
      </c>
      <c r="B29" s="21"/>
      <c r="C29" s="20" t="s">
        <v>164</v>
      </c>
      <c r="D29" s="21" t="s">
        <v>165</v>
      </c>
      <c r="E29" s="21">
        <v>15</v>
      </c>
      <c r="F29" s="33" t="s">
        <v>166</v>
      </c>
      <c r="G29" s="23">
        <v>332.18</v>
      </c>
      <c r="H29" s="23"/>
      <c r="I29" s="24">
        <f t="shared" si="0"/>
        <v>0</v>
      </c>
      <c r="J29" s="31"/>
      <c r="K29" s="18"/>
      <c r="L29" s="9"/>
    </row>
    <row r="30" s="1" customFormat="1" ht="52" customHeight="1" spans="1:12">
      <c r="A30" s="20">
        <v>28</v>
      </c>
      <c r="B30" s="21" t="s">
        <v>167</v>
      </c>
      <c r="C30" s="20" t="s">
        <v>168</v>
      </c>
      <c r="D30" s="21" t="s">
        <v>169</v>
      </c>
      <c r="E30" s="21">
        <v>168</v>
      </c>
      <c r="F30" s="21" t="s">
        <v>166</v>
      </c>
      <c r="G30" s="23">
        <v>132.36</v>
      </c>
      <c r="H30" s="23"/>
      <c r="I30" s="24">
        <f t="shared" si="0"/>
        <v>0</v>
      </c>
      <c r="J30" s="25" t="s">
        <v>170</v>
      </c>
      <c r="K30" s="18"/>
      <c r="L30" s="9"/>
    </row>
    <row r="31" s="1" customFormat="1" ht="30" customHeight="1" spans="1:12">
      <c r="A31" s="20">
        <v>29</v>
      </c>
      <c r="B31" s="21"/>
      <c r="C31" s="20"/>
      <c r="D31" s="21" t="s">
        <v>171</v>
      </c>
      <c r="E31" s="21">
        <v>168</v>
      </c>
      <c r="F31" s="21" t="s">
        <v>166</v>
      </c>
      <c r="G31" s="23">
        <v>95.97</v>
      </c>
      <c r="H31" s="23"/>
      <c r="I31" s="24">
        <f t="shared" si="0"/>
        <v>0</v>
      </c>
      <c r="J31" s="25" t="s">
        <v>172</v>
      </c>
      <c r="K31" s="18"/>
      <c r="L31" s="9"/>
    </row>
    <row r="32" s="1" customFormat="1" ht="30" customHeight="1" spans="1:12">
      <c r="A32" s="20">
        <v>30</v>
      </c>
      <c r="B32" s="21"/>
      <c r="C32" s="20" t="s">
        <v>173</v>
      </c>
      <c r="D32" s="21" t="s">
        <v>174</v>
      </c>
      <c r="E32" s="21">
        <v>12</v>
      </c>
      <c r="F32" s="21" t="s">
        <v>112</v>
      </c>
      <c r="G32" s="23">
        <v>427.44</v>
      </c>
      <c r="H32" s="23"/>
      <c r="I32" s="24">
        <f t="shared" si="0"/>
        <v>0</v>
      </c>
      <c r="J32" s="21"/>
      <c r="K32" s="18"/>
      <c r="L32" s="9"/>
    </row>
    <row r="33" s="1" customFormat="1" ht="30" customHeight="1" spans="1:13">
      <c r="A33" s="20">
        <v>31</v>
      </c>
      <c r="B33" s="21"/>
      <c r="C33" s="20" t="s">
        <v>175</v>
      </c>
      <c r="D33" s="21" t="s">
        <v>176</v>
      </c>
      <c r="E33" s="21">
        <v>3</v>
      </c>
      <c r="F33" s="21" t="s">
        <v>112</v>
      </c>
      <c r="G33" s="23">
        <v>116.6</v>
      </c>
      <c r="H33" s="23"/>
      <c r="I33" s="24">
        <f t="shared" si="0"/>
        <v>0</v>
      </c>
      <c r="J33" s="21"/>
      <c r="K33" s="18"/>
      <c r="L33" s="9"/>
    </row>
    <row r="34" s="1" customFormat="1" ht="30" customHeight="1" spans="1:13">
      <c r="A34" s="20">
        <v>32</v>
      </c>
      <c r="B34" s="21"/>
      <c r="C34" s="20" t="s">
        <v>177</v>
      </c>
      <c r="D34" s="20" t="s">
        <v>178</v>
      </c>
      <c r="E34" s="21">
        <f>14*3</f>
        <v>42</v>
      </c>
      <c r="F34" s="21" t="s">
        <v>122</v>
      </c>
      <c r="G34" s="23">
        <v>236</v>
      </c>
      <c r="H34" s="23"/>
      <c r="I34" s="24">
        <f t="shared" si="0"/>
        <v>0</v>
      </c>
      <c r="J34" s="21"/>
      <c r="K34" s="18"/>
      <c r="L34" s="9"/>
    </row>
    <row r="35" s="1" customFormat="1" ht="30" customHeight="1" spans="1:13">
      <c r="A35" s="20">
        <v>33</v>
      </c>
      <c r="B35" s="21"/>
      <c r="C35" s="20" t="s">
        <v>179</v>
      </c>
      <c r="D35" s="20" t="s">
        <v>180</v>
      </c>
      <c r="E35" s="21">
        <v>235</v>
      </c>
      <c r="F35" s="21" t="s">
        <v>181</v>
      </c>
      <c r="G35" s="23">
        <v>12.93</v>
      </c>
      <c r="H35" s="23"/>
      <c r="I35" s="24">
        <f t="shared" si="0"/>
        <v>0</v>
      </c>
      <c r="J35" s="21"/>
      <c r="K35" s="18"/>
      <c r="L35" s="9"/>
    </row>
    <row r="36" s="1" customFormat="1" ht="57.35" customHeight="1" spans="1:13">
      <c r="A36" s="20">
        <v>34</v>
      </c>
      <c r="B36" s="20"/>
      <c r="C36" s="20" t="s">
        <v>182</v>
      </c>
      <c r="D36" s="21" t="s">
        <v>183</v>
      </c>
      <c r="E36" s="21">
        <v>112</v>
      </c>
      <c r="F36" s="21" t="s">
        <v>184</v>
      </c>
      <c r="G36" s="23">
        <v>113.79</v>
      </c>
      <c r="H36" s="23"/>
      <c r="I36" s="24">
        <f t="shared" si="0"/>
        <v>0</v>
      </c>
      <c r="J36" s="21"/>
      <c r="K36" s="18"/>
      <c r="L36" s="34" t="s">
        <v>185</v>
      </c>
      <c r="M36" s="35"/>
    </row>
    <row r="37" s="1" customFormat="1" ht="30" customHeight="1" spans="1:13">
      <c r="A37" s="21" t="s">
        <v>186</v>
      </c>
      <c r="B37" s="20"/>
      <c r="C37" s="20"/>
      <c r="D37" s="21" t="s">
        <v>187</v>
      </c>
      <c r="E37" s="21">
        <v>1</v>
      </c>
      <c r="F37" s="21" t="s">
        <v>188</v>
      </c>
      <c r="G37" s="23">
        <v>6892</v>
      </c>
      <c r="H37" s="23"/>
      <c r="I37" s="24">
        <f t="shared" si="0"/>
        <v>0</v>
      </c>
      <c r="J37" s="21"/>
      <c r="K37" s="18"/>
      <c r="L37" s="9"/>
    </row>
    <row r="38" s="1" customFormat="1" ht="30" customHeight="1" spans="1:13">
      <c r="A38" s="36" t="s">
        <v>189</v>
      </c>
      <c r="B38" s="37"/>
      <c r="C38" s="37"/>
      <c r="D38" s="37"/>
      <c r="E38" s="37"/>
      <c r="F38" s="37"/>
      <c r="G38" s="37"/>
      <c r="H38" s="38"/>
      <c r="I38" s="24">
        <f t="shared" si="0"/>
        <v>0</v>
      </c>
      <c r="J38" s="21"/>
      <c r="K38" s="18"/>
      <c r="L38" s="9"/>
    </row>
    <row r="39" s="1" customFormat="1" ht="30" customHeight="1" spans="1:13">
      <c r="A39" s="21" t="s">
        <v>190</v>
      </c>
      <c r="B39" s="21"/>
      <c r="C39" s="21"/>
      <c r="D39" s="21"/>
      <c r="E39" s="39">
        <f>I38</f>
        <v>0</v>
      </c>
      <c r="F39" s="39"/>
      <c r="G39" s="39"/>
      <c r="H39" s="39"/>
      <c r="I39" s="39"/>
      <c r="J39" s="21" t="s">
        <v>191</v>
      </c>
      <c r="K39" s="18"/>
      <c r="L39" s="9"/>
    </row>
    <row r="43" s="1" customFormat="1" spans="1:13">
      <c r="A43" s="3"/>
      <c r="B43" s="3"/>
      <c r="C43" s="4"/>
      <c r="D43" s="4"/>
      <c r="E43" s="5"/>
      <c r="F43" s="5"/>
      <c r="G43" s="40"/>
      <c r="H43" s="40"/>
      <c r="I43" s="41"/>
      <c r="J43" s="3"/>
      <c r="K43" s="8"/>
      <c r="L43" s="9"/>
    </row>
  </sheetData>
  <mergeCells count="14">
    <mergeCell ref="A1:J1"/>
    <mergeCell ref="B2:C2"/>
    <mergeCell ref="A37:C37"/>
    <mergeCell ref="A38:H38"/>
    <mergeCell ref="A39:D39"/>
    <mergeCell ref="E39:I39"/>
    <mergeCell ref="B3:B18"/>
    <mergeCell ref="B19:B29"/>
    <mergeCell ref="B30:B35"/>
    <mergeCell ref="C6:C7"/>
    <mergeCell ref="C8:C10"/>
    <mergeCell ref="C11:C16"/>
    <mergeCell ref="C30:C31"/>
    <mergeCell ref="K9:K10"/>
  </mergeCells>
  <pageMargins left="0.55" right="0.511805555555556" top="1" bottom="1" header="0.5" footer="0.5"/>
  <pageSetup paperSize="8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发电自用比例计算表（无峰谷计价）</vt:lpstr>
      <vt:lpstr>用能方收益</vt:lpstr>
      <vt:lpstr>工程量清单-投资估算表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孟</cp:lastModifiedBy>
  <dcterms:created xsi:type="dcterms:W3CDTF">1996-12-18T17:32:00Z</dcterms:created>
  <dcterms:modified xsi:type="dcterms:W3CDTF">2026-10-16T09:06:23Z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F9A497511FDD4E23B333A9959C2FA91C_13</vt:lpwstr>
  </property>
  <property fmtid="{D5CDD505-2E9C-101B-9397-08002B2CF9AE}" pid="4" name="CalculationRule">
    <vt:i4>0</vt:i4>
  </property>
</Properties>
</file>